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1. Assignments\6. Ashiwini Mittal Sir- Nabcons\18. Chilly processing unit\"/>
    </mc:Choice>
  </mc:AlternateContent>
  <xr:revisionPtr revIDLastSave="0" documentId="13_ncr:1_{26ADE268-701D-4146-8C40-4CE597DE46DE}"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C23" i="11"/>
  <c r="C25" i="11" s="1"/>
  <c r="A16" i="21"/>
  <c r="A15" i="21"/>
  <c r="A14" i="21"/>
  <c r="A13" i="21"/>
  <c r="A12" i="21"/>
  <c r="A8" i="21"/>
  <c r="A7" i="21"/>
  <c r="A6" i="21"/>
  <c r="A5" i="21"/>
  <c r="A4" i="21"/>
  <c r="D13" i="4"/>
  <c r="E13" i="4"/>
  <c r="F13" i="4"/>
  <c r="G13" i="4"/>
  <c r="H13" i="4"/>
  <c r="I13" i="4"/>
  <c r="J13" i="4"/>
  <c r="K13" i="4"/>
  <c r="C13" i="4"/>
  <c r="D17" i="4"/>
  <c r="E17" i="4"/>
  <c r="F17" i="4"/>
  <c r="G17" i="4"/>
  <c r="H17" i="4"/>
  <c r="I17" i="4"/>
  <c r="J17" i="4"/>
  <c r="K17" i="4"/>
  <c r="C17" i="4"/>
  <c r="C6" i="19"/>
  <c r="D6" i="19"/>
  <c r="E6" i="19"/>
  <c r="F6" i="19"/>
  <c r="G6" i="19"/>
  <c r="H6" i="19"/>
  <c r="I6" i="19"/>
  <c r="J6" i="19"/>
  <c r="B6" i="19"/>
  <c r="B12" i="19"/>
  <c r="F5" i="19" s="1"/>
  <c r="E17" i="3"/>
  <c r="E20" i="3" s="1"/>
  <c r="E4" i="3"/>
  <c r="C15" i="1"/>
  <c r="D5" i="22"/>
  <c r="E4" i="22"/>
  <c r="E5" i="22" s="1"/>
  <c r="E9" i="9"/>
  <c r="C43" i="4"/>
  <c r="B8" i="18"/>
  <c r="C29" i="1"/>
  <c r="E8" i="9"/>
  <c r="E10" i="9"/>
  <c r="C21" i="11"/>
  <c r="C35" i="1"/>
  <c r="C32" i="4"/>
  <c r="B13" i="18" s="1"/>
  <c r="E18" i="9"/>
  <c r="B5" i="19" l="1"/>
  <c r="G7" i="4"/>
  <c r="G10" i="4" s="1"/>
  <c r="F4" i="22"/>
  <c r="C8" i="4"/>
  <c r="F7" i="19"/>
  <c r="F22" i="19"/>
  <c r="E12" i="10"/>
  <c r="E13" i="10" s="1"/>
  <c r="C5" i="19"/>
  <c r="D5" i="19"/>
  <c r="J5" i="19"/>
  <c r="I5" i="19"/>
  <c r="E5" i="19"/>
  <c r="H5" i="19"/>
  <c r="G5" i="19"/>
  <c r="E7" i="9"/>
  <c r="D28" i="4"/>
  <c r="E28" i="4"/>
  <c r="F28" i="4"/>
  <c r="G28" i="4"/>
  <c r="H28" i="4"/>
  <c r="I28" i="4"/>
  <c r="J28" i="4"/>
  <c r="K28" i="4"/>
  <c r="C28" i="4"/>
  <c r="C7" i="2"/>
  <c r="B13" i="23"/>
  <c r="B15" i="23" s="1"/>
  <c r="B17" i="23" s="1"/>
  <c r="B9" i="23"/>
  <c r="G18" i="4" l="1"/>
  <c r="F8" i="19"/>
  <c r="J22" i="19"/>
  <c r="F5" i="22"/>
  <c r="G4" i="22"/>
  <c r="K7" i="4"/>
  <c r="K10" i="4" s="1"/>
  <c r="D7" i="4"/>
  <c r="D10" i="4" s="1"/>
  <c r="F7" i="4"/>
  <c r="F10" i="4" s="1"/>
  <c r="J7" i="4"/>
  <c r="J10" i="4" s="1"/>
  <c r="H7" i="4"/>
  <c r="H10" i="4" s="1"/>
  <c r="E7" i="4"/>
  <c r="E10" i="4" s="1"/>
  <c r="C7" i="4"/>
  <c r="C10" i="4" s="1"/>
  <c r="I7" i="4"/>
  <c r="I10" i="4" s="1"/>
  <c r="F23" i="19"/>
  <c r="D22" i="19"/>
  <c r="D7" i="19"/>
  <c r="C22" i="19"/>
  <c r="C7" i="19"/>
  <c r="E7" i="19"/>
  <c r="E22" i="19"/>
  <c r="B22" i="19"/>
  <c r="B7" i="19"/>
  <c r="G22" i="19"/>
  <c r="G7" i="19"/>
  <c r="H7" i="19"/>
  <c r="H22" i="19"/>
  <c r="I7" i="19"/>
  <c r="I22" i="19"/>
  <c r="B4" i="18"/>
  <c r="D8" i="11"/>
  <c r="C28" i="11" s="1"/>
  <c r="E14" i="10"/>
  <c r="B16" i="19"/>
  <c r="C24" i="11" s="1"/>
  <c r="J18" i="4" l="1"/>
  <c r="I8" i="19"/>
  <c r="F18" i="4"/>
  <c r="E8" i="19"/>
  <c r="I18" i="4"/>
  <c r="H8" i="19"/>
  <c r="I23" i="4" s="1"/>
  <c r="H18" i="4"/>
  <c r="G8" i="19"/>
  <c r="H23" i="4" s="1"/>
  <c r="E18" i="4"/>
  <c r="D8" i="19"/>
  <c r="C18" i="4"/>
  <c r="C8" i="19"/>
  <c r="D18" i="4"/>
  <c r="B8" i="19"/>
  <c r="H4" i="22"/>
  <c r="G5" i="22"/>
  <c r="C23" i="19"/>
  <c r="G23" i="19"/>
  <c r="B23" i="19"/>
  <c r="I23" i="19"/>
  <c r="E23" i="19"/>
  <c r="H23" i="19"/>
  <c r="E23" i="4"/>
  <c r="D23" i="19"/>
  <c r="G23" i="4"/>
  <c r="E15" i="10"/>
  <c r="A11" i="21"/>
  <c r="A10" i="21"/>
  <c r="A9" i="21"/>
  <c r="K47" i="7"/>
  <c r="J47" i="7"/>
  <c r="D23" i="7"/>
  <c r="E23" i="7"/>
  <c r="F23" i="7"/>
  <c r="G23" i="7"/>
  <c r="H23" i="7"/>
  <c r="I23" i="7"/>
  <c r="I34" i="7" s="1"/>
  <c r="J23" i="7"/>
  <c r="J34" i="7" s="1"/>
  <c r="K23" i="7"/>
  <c r="K34" i="7" s="1"/>
  <c r="C23" i="7"/>
  <c r="C20" i="4" l="1"/>
  <c r="H5" i="22"/>
  <c r="I4" i="22"/>
  <c r="G12" i="7"/>
  <c r="D23" i="4"/>
  <c r="J23" i="4"/>
  <c r="F23" i="4"/>
  <c r="C23" i="4"/>
  <c r="I12" i="7"/>
  <c r="H12" i="7"/>
  <c r="E12" i="7"/>
  <c r="B24" i="19"/>
  <c r="E16" i="10"/>
  <c r="E17" i="10" s="1"/>
  <c r="C24" i="18"/>
  <c r="K24" i="18"/>
  <c r="J24" i="18"/>
  <c r="I24" i="18"/>
  <c r="H24" i="18"/>
  <c r="G24" i="18"/>
  <c r="F24" i="18"/>
  <c r="E24" i="18"/>
  <c r="D24" i="18"/>
  <c r="I5" i="22" l="1"/>
  <c r="J4" i="22"/>
  <c r="J12" i="7"/>
  <c r="D12" i="7"/>
  <c r="F12" i="7"/>
  <c r="C12" i="7"/>
  <c r="C21" i="19"/>
  <c r="C24" i="19" s="1"/>
  <c r="E18" i="10"/>
  <c r="E19" i="10" s="1"/>
  <c r="E20" i="10" s="1"/>
  <c r="I41" i="7"/>
  <c r="J41" i="7"/>
  <c r="K41" i="7"/>
  <c r="J5" i="22" l="1"/>
  <c r="K4" i="22"/>
  <c r="D21" i="19"/>
  <c r="D24" i="19" s="1"/>
  <c r="D12" i="4"/>
  <c r="C13" i="7"/>
  <c r="C19" i="1"/>
  <c r="D42" i="4"/>
  <c r="D43" i="4" s="1"/>
  <c r="D8" i="4" s="1"/>
  <c r="K5" i="22" l="1"/>
  <c r="L4" i="22"/>
  <c r="L5" i="22" s="1"/>
  <c r="D13" i="7"/>
  <c r="E12" i="4"/>
  <c r="E21" i="19"/>
  <c r="E24" i="19" s="1"/>
  <c r="E42" i="4"/>
  <c r="E43" i="4" s="1"/>
  <c r="E8" i="4" s="1"/>
  <c r="F12" i="4" l="1"/>
  <c r="E13" i="7"/>
  <c r="F21" i="19"/>
  <c r="F24" i="19" s="1"/>
  <c r="F42" i="4"/>
  <c r="F43" i="4" s="1"/>
  <c r="F8" i="4" s="1"/>
  <c r="G21" i="19" l="1"/>
  <c r="G24" i="19" s="1"/>
  <c r="G12" i="4"/>
  <c r="F13" i="7"/>
  <c r="G42" i="4"/>
  <c r="G43" i="4" s="1"/>
  <c r="G8" i="4" s="1"/>
  <c r="G13" i="7" l="1"/>
  <c r="H12" i="4"/>
  <c r="H21" i="19"/>
  <c r="H24" i="19" s="1"/>
  <c r="K24" i="7"/>
  <c r="K29" i="7" s="1"/>
  <c r="C9" i="18"/>
  <c r="E5" i="11"/>
  <c r="D7" i="11" s="1"/>
  <c r="B3" i="20"/>
  <c r="H42" i="4"/>
  <c r="H43" i="4" s="1"/>
  <c r="H8" i="4" s="1"/>
  <c r="I21" i="19" l="1"/>
  <c r="I24" i="19" s="1"/>
  <c r="I12" i="4"/>
  <c r="H13" i="7"/>
  <c r="I24" i="7"/>
  <c r="I29" i="7" s="1"/>
  <c r="G24" i="7"/>
  <c r="G29" i="7" s="1"/>
  <c r="D9" i="18"/>
  <c r="J24" i="7"/>
  <c r="J29" i="7" s="1"/>
  <c r="E9" i="18"/>
  <c r="H24" i="7"/>
  <c r="H29" i="7" s="1"/>
  <c r="C24" i="7"/>
  <c r="C29" i="7" s="1"/>
  <c r="G3" i="20"/>
  <c r="C3" i="20"/>
  <c r="D3" i="20"/>
  <c r="I3" i="20"/>
  <c r="H3" i="20"/>
  <c r="E3" i="20"/>
  <c r="F3" i="20"/>
  <c r="I42" i="4"/>
  <c r="I43" i="4" l="1"/>
  <c r="I8" i="4" s="1"/>
  <c r="J42" i="4"/>
  <c r="K42" i="4" s="1"/>
  <c r="J12" i="4"/>
  <c r="I13" i="7"/>
  <c r="J21" i="19"/>
  <c r="J7" i="19" s="1"/>
  <c r="J23" i="19" s="1"/>
  <c r="D24" i="7"/>
  <c r="D29" i="7" s="1"/>
  <c r="E24" i="7"/>
  <c r="E29" i="7" s="1"/>
  <c r="F24" i="7"/>
  <c r="F29" i="7" s="1"/>
  <c r="J43" i="4" l="1"/>
  <c r="J8" i="4" s="1"/>
  <c r="K12" i="4"/>
  <c r="J13" i="7"/>
  <c r="K43" i="4"/>
  <c r="K8" i="4" s="1"/>
  <c r="C12" i="1"/>
  <c r="J29" i="4"/>
  <c r="K29" i="4"/>
  <c r="K14" i="18" s="1"/>
  <c r="J14" i="18" l="1"/>
  <c r="J46" i="7"/>
  <c r="K46" i="7"/>
  <c r="D9" i="11" l="1"/>
  <c r="E9" i="11" l="1"/>
  <c r="E10" i="11" s="1"/>
  <c r="C29" i="11"/>
  <c r="J48" i="7"/>
  <c r="K48" i="7"/>
  <c r="C20" i="1"/>
  <c r="F8" i="10"/>
  <c r="F7" i="10"/>
  <c r="E6" i="9"/>
  <c r="E11" i="9" s="1"/>
  <c r="E13" i="9" s="1"/>
  <c r="C9" i="1"/>
  <c r="D6" i="10" l="1"/>
  <c r="D12" i="10" s="1"/>
  <c r="D13" i="10" s="1"/>
  <c r="D14" i="10" s="1"/>
  <c r="D11" i="18"/>
  <c r="E11" i="18"/>
  <c r="C3" i="15"/>
  <c r="K6" i="12"/>
  <c r="E5" i="12"/>
  <c r="H6" i="12"/>
  <c r="E6" i="12"/>
  <c r="D6" i="12"/>
  <c r="F6" i="12"/>
  <c r="F5" i="12"/>
  <c r="G5" i="12"/>
  <c r="I6" i="12"/>
  <c r="E14" i="9" l="1"/>
  <c r="E12" i="11" s="1"/>
  <c r="F3" i="15"/>
  <c r="F11" i="18"/>
  <c r="E3" i="15"/>
  <c r="D3" i="15"/>
  <c r="H5" i="12"/>
  <c r="J5" i="12"/>
  <c r="C6" i="12"/>
  <c r="J6" i="12"/>
  <c r="D5" i="12"/>
  <c r="I5" i="12"/>
  <c r="C5" i="12"/>
  <c r="G6" i="12"/>
  <c r="K5" i="12"/>
  <c r="D15" i="10"/>
  <c r="D16" i="10" s="1"/>
  <c r="D17" i="10" s="1"/>
  <c r="E16" i="9" l="1"/>
  <c r="C16" i="4"/>
  <c r="D16" i="4" s="1"/>
  <c r="E16" i="4" s="1"/>
  <c r="F16" i="4" s="1"/>
  <c r="G16" i="4" s="1"/>
  <c r="H16" i="4" s="1"/>
  <c r="I16" i="4" s="1"/>
  <c r="J16" i="4" s="1"/>
  <c r="K16" i="4" s="1"/>
  <c r="G11" i="18"/>
  <c r="D18" i="10"/>
  <c r="F9" i="18" l="1"/>
  <c r="H11" i="18"/>
  <c r="G3" i="15"/>
  <c r="D19" i="10"/>
  <c r="D20" i="10" s="1"/>
  <c r="D20" i="4" l="1"/>
  <c r="D10" i="18"/>
  <c r="G9" i="18"/>
  <c r="I11" i="18"/>
  <c r="H3" i="15"/>
  <c r="E20" i="4" l="1"/>
  <c r="E10" i="18"/>
  <c r="H9" i="18"/>
  <c r="J11" i="18"/>
  <c r="I3" i="15"/>
  <c r="F20" i="4" l="1"/>
  <c r="F10" i="18"/>
  <c r="I9" i="18"/>
  <c r="K11" i="18"/>
  <c r="G20" i="4" l="1"/>
  <c r="G10" i="18"/>
  <c r="J9" i="18"/>
  <c r="H20" i="4" l="1"/>
  <c r="H10" i="18"/>
  <c r="I20" i="4" l="1"/>
  <c r="I10" i="18"/>
  <c r="J20" i="4" l="1"/>
  <c r="J10" i="18"/>
  <c r="K10" i="18" l="1"/>
  <c r="J3" i="15" l="1"/>
  <c r="E5" i="3"/>
  <c r="C6" i="10" s="1"/>
  <c r="F6" i="10" l="1"/>
  <c r="F9" i="10" s="1"/>
  <c r="C12" i="10"/>
  <c r="C10" i="7" s="1"/>
  <c r="C16" i="1"/>
  <c r="C37" i="1" s="1"/>
  <c r="C8" i="2" l="1"/>
  <c r="F12" i="10"/>
  <c r="E13" i="11" s="1"/>
  <c r="C13" i="10"/>
  <c r="C33" i="4"/>
  <c r="B10" i="13"/>
  <c r="C14" i="10"/>
  <c r="D10" i="13" s="1"/>
  <c r="C9" i="7"/>
  <c r="C11" i="7" s="1"/>
  <c r="C40" i="7" s="1"/>
  <c r="B7" i="18"/>
  <c r="B27" i="18" s="1"/>
  <c r="B28" i="18" s="1"/>
  <c r="C9" i="4"/>
  <c r="C7" i="15"/>
  <c r="C4" i="2" l="1"/>
  <c r="F14" i="10"/>
  <c r="C15" i="10"/>
  <c r="E10" i="13" s="1"/>
  <c r="E33" i="4"/>
  <c r="D9" i="7"/>
  <c r="E10" i="7"/>
  <c r="F13" i="10"/>
  <c r="C10" i="13"/>
  <c r="D33" i="4"/>
  <c r="D10" i="7"/>
  <c r="C11" i="4"/>
  <c r="D9" i="4"/>
  <c r="E16" i="11"/>
  <c r="C6" i="2" l="1"/>
  <c r="B6" i="18" s="1"/>
  <c r="C18" i="7"/>
  <c r="B5" i="18"/>
  <c r="F33" i="4"/>
  <c r="F15" i="10"/>
  <c r="C16" i="10"/>
  <c r="C17" i="10" s="1"/>
  <c r="H33" i="4" s="1"/>
  <c r="F10" i="7"/>
  <c r="D11" i="7"/>
  <c r="D11" i="4"/>
  <c r="E9" i="4"/>
  <c r="C14" i="4"/>
  <c r="C22" i="4" s="1"/>
  <c r="C12" i="18"/>
  <c r="B25" i="18" l="1"/>
  <c r="B26" i="18" s="1"/>
  <c r="B31" i="18" s="1"/>
  <c r="B15" i="18"/>
  <c r="B21" i="18"/>
  <c r="C4" i="18" s="1"/>
  <c r="C25" i="18" s="1"/>
  <c r="C26" i="18" s="1"/>
  <c r="D4" i="14"/>
  <c r="D11" i="14" s="1"/>
  <c r="G10" i="13"/>
  <c r="F10" i="13"/>
  <c r="H10" i="7"/>
  <c r="G10" i="7"/>
  <c r="C18" i="10"/>
  <c r="I10" i="7" s="1"/>
  <c r="F17" i="10"/>
  <c r="G33" i="4"/>
  <c r="F16" i="10"/>
  <c r="E9" i="7"/>
  <c r="E11" i="7" s="1"/>
  <c r="D40" i="7"/>
  <c r="B4" i="20"/>
  <c r="B5" i="20" s="1"/>
  <c r="B6" i="20" s="1"/>
  <c r="C24" i="4"/>
  <c r="E11" i="4"/>
  <c r="F9" i="4"/>
  <c r="D12" i="18"/>
  <c r="D14" i="4"/>
  <c r="D22" i="4" s="1"/>
  <c r="D12" i="14" l="1"/>
  <c r="D13" i="14" s="1"/>
  <c r="B30" i="18"/>
  <c r="C11" i="14"/>
  <c r="C10" i="14"/>
  <c r="E10" i="14" s="1"/>
  <c r="C9" i="14"/>
  <c r="E9" i="14" s="1"/>
  <c r="F18" i="10"/>
  <c r="H10" i="13"/>
  <c r="I33" i="4"/>
  <c r="C19" i="10"/>
  <c r="I10" i="13" s="1"/>
  <c r="F9" i="7"/>
  <c r="F11" i="7" s="1"/>
  <c r="E40" i="7"/>
  <c r="C49" i="7"/>
  <c r="C4" i="20"/>
  <c r="C5" i="20" s="1"/>
  <c r="C6" i="20" s="1"/>
  <c r="D24" i="4"/>
  <c r="F11" i="4"/>
  <c r="G9" i="4"/>
  <c r="E12" i="18"/>
  <c r="E14" i="4"/>
  <c r="E22" i="4" s="1"/>
  <c r="C20" i="18" l="1"/>
  <c r="C47" i="7"/>
  <c r="D14" i="14"/>
  <c r="C12" i="14"/>
  <c r="E11" i="14"/>
  <c r="C20" i="10"/>
  <c r="K33" i="4" s="1"/>
  <c r="J33" i="4"/>
  <c r="J10" i="7"/>
  <c r="F19" i="10"/>
  <c r="G9" i="7"/>
  <c r="G11" i="7" s="1"/>
  <c r="F40" i="7"/>
  <c r="G11" i="4"/>
  <c r="H9" i="4"/>
  <c r="F12" i="18"/>
  <c r="F14" i="4"/>
  <c r="F22" i="4" s="1"/>
  <c r="D49" i="7"/>
  <c r="E24" i="4"/>
  <c r="D4" i="20"/>
  <c r="D5" i="20" s="1"/>
  <c r="D6" i="20" s="1"/>
  <c r="D15" i="14" l="1"/>
  <c r="J10" i="13"/>
  <c r="F20" i="10"/>
  <c r="K10" i="7"/>
  <c r="C13" i="14"/>
  <c r="E12" i="14"/>
  <c r="G40" i="7"/>
  <c r="H9" i="7"/>
  <c r="H11" i="7" s="1"/>
  <c r="F24" i="4"/>
  <c r="E4" i="20"/>
  <c r="E5" i="20" s="1"/>
  <c r="E6" i="20" s="1"/>
  <c r="E49" i="7"/>
  <c r="I9" i="4"/>
  <c r="H11" i="4"/>
  <c r="G14" i="4"/>
  <c r="G22" i="4" s="1"/>
  <c r="G12" i="18"/>
  <c r="D16" i="14" l="1"/>
  <c r="D47" i="7" s="1"/>
  <c r="E17" i="11"/>
  <c r="E18" i="11" s="1"/>
  <c r="C30" i="11" s="1"/>
  <c r="C31" i="11" s="1"/>
  <c r="C27" i="4"/>
  <c r="C29" i="4" s="1"/>
  <c r="E13" i="14"/>
  <c r="C22" i="7"/>
  <c r="C14" i="14"/>
  <c r="H40" i="7"/>
  <c r="I9" i="7"/>
  <c r="I11" i="7" s="1"/>
  <c r="G24" i="4"/>
  <c r="F4" i="20"/>
  <c r="F5" i="20" s="1"/>
  <c r="F6" i="20" s="1"/>
  <c r="F49" i="7"/>
  <c r="H12" i="18"/>
  <c r="H14" i="4"/>
  <c r="H22" i="4" s="1"/>
  <c r="I11" i="4"/>
  <c r="J9" i="4"/>
  <c r="D20" i="18" l="1"/>
  <c r="D17" i="14"/>
  <c r="E14" i="14"/>
  <c r="C15" i="14"/>
  <c r="C46" i="7"/>
  <c r="C48" i="7" s="1"/>
  <c r="C50" i="7" s="1"/>
  <c r="C14" i="18"/>
  <c r="C15" i="18" s="1"/>
  <c r="C31" i="4"/>
  <c r="C41" i="7"/>
  <c r="C42" i="7" s="1"/>
  <c r="C34" i="7"/>
  <c r="J9" i="7"/>
  <c r="J11" i="7" s="1"/>
  <c r="I40" i="7"/>
  <c r="I42" i="7" s="1"/>
  <c r="G49" i="7"/>
  <c r="I14" i="4"/>
  <c r="I22" i="4" s="1"/>
  <c r="I12" i="18"/>
  <c r="H24" i="4"/>
  <c r="G4" i="20"/>
  <c r="G5" i="20" s="1"/>
  <c r="G6" i="20" s="1"/>
  <c r="K9" i="4"/>
  <c r="K11" i="4" s="1"/>
  <c r="J11" i="4"/>
  <c r="D18" i="14" l="1"/>
  <c r="C34" i="4"/>
  <c r="B7" i="13"/>
  <c r="B9" i="13" s="1"/>
  <c r="B11" i="13" s="1"/>
  <c r="B13" i="13" s="1"/>
  <c r="B14" i="13" s="1"/>
  <c r="C35" i="4" s="1"/>
  <c r="C16" i="18" s="1"/>
  <c r="C17" i="18" s="1"/>
  <c r="E15" i="14"/>
  <c r="C16" i="14"/>
  <c r="K9" i="7"/>
  <c r="K11" i="7" s="1"/>
  <c r="K40" i="7" s="1"/>
  <c r="K42" i="7" s="1"/>
  <c r="J40" i="7"/>
  <c r="J42" i="7" s="1"/>
  <c r="H49" i="7"/>
  <c r="I24" i="4"/>
  <c r="H4" i="20"/>
  <c r="H5" i="20" s="1"/>
  <c r="H6" i="20" s="1"/>
  <c r="J12" i="18"/>
  <c r="J14" i="4"/>
  <c r="J22" i="4" s="1"/>
  <c r="D19" i="14" l="1"/>
  <c r="E16" i="14"/>
  <c r="D27" i="4" s="1"/>
  <c r="D29" i="4" s="1"/>
  <c r="C17" i="14"/>
  <c r="C36" i="4"/>
  <c r="B7" i="20"/>
  <c r="I49" i="7"/>
  <c r="J24" i="4"/>
  <c r="I4" i="20"/>
  <c r="I5" i="20" s="1"/>
  <c r="I6" i="20" s="1"/>
  <c r="D20" i="14" l="1"/>
  <c r="E47" i="7" s="1"/>
  <c r="D46" i="7"/>
  <c r="D48" i="7" s="1"/>
  <c r="D50" i="7" s="1"/>
  <c r="D14" i="18"/>
  <c r="D31" i="4"/>
  <c r="C18" i="14"/>
  <c r="E17" i="14"/>
  <c r="D22" i="7"/>
  <c r="B8" i="20"/>
  <c r="C37" i="4"/>
  <c r="C18" i="18" s="1"/>
  <c r="J49" i="7"/>
  <c r="J50" i="7" s="1"/>
  <c r="J31" i="4"/>
  <c r="E20" i="18" l="1"/>
  <c r="D21" i="14"/>
  <c r="D34" i="7"/>
  <c r="D41" i="7"/>
  <c r="D42" i="7" s="1"/>
  <c r="C19" i="14"/>
  <c r="E18" i="14"/>
  <c r="C7" i="13"/>
  <c r="C9" i="13" s="1"/>
  <c r="C11" i="13" s="1"/>
  <c r="C13" i="13" s="1"/>
  <c r="C14" i="13" s="1"/>
  <c r="D35" i="4" s="1"/>
  <c r="D16" i="18" s="1"/>
  <c r="D34" i="4"/>
  <c r="C27" i="18"/>
  <c r="C19" i="18"/>
  <c r="C21" i="18" s="1"/>
  <c r="C38" i="4"/>
  <c r="C19" i="7" s="1"/>
  <c r="C21" i="7" s="1"/>
  <c r="I7" i="13"/>
  <c r="I9" i="13" s="1"/>
  <c r="I11" i="13" s="1"/>
  <c r="I13" i="13" s="1"/>
  <c r="I14" i="13" s="1"/>
  <c r="J35" i="4" s="1"/>
  <c r="J16" i="18" s="1"/>
  <c r="J34" i="4"/>
  <c r="D22" i="14" l="1"/>
  <c r="C14" i="7"/>
  <c r="D4" i="18"/>
  <c r="C30" i="18"/>
  <c r="C31" i="18" s="1"/>
  <c r="C28" i="18"/>
  <c r="D36" i="4"/>
  <c r="C7" i="20"/>
  <c r="C20" i="14"/>
  <c r="E19" i="14"/>
  <c r="C35" i="7"/>
  <c r="C36" i="7" s="1"/>
  <c r="C25" i="7"/>
  <c r="D18" i="7"/>
  <c r="J36" i="4"/>
  <c r="I7" i="20"/>
  <c r="D23" i="14" l="1"/>
  <c r="D37" i="4"/>
  <c r="D18" i="18" s="1"/>
  <c r="D27" i="18" s="1"/>
  <c r="D28" i="18" s="1"/>
  <c r="C8" i="20"/>
  <c r="C21" i="14"/>
  <c r="E20" i="14"/>
  <c r="E27" i="4" s="1"/>
  <c r="E29" i="4" s="1"/>
  <c r="C28" i="7"/>
  <c r="C30" i="7" s="1"/>
  <c r="C15" i="7"/>
  <c r="D25" i="18"/>
  <c r="D15" i="18"/>
  <c r="D17" i="18" s="1"/>
  <c r="I8" i="20"/>
  <c r="J37" i="4"/>
  <c r="J18" i="18" s="1"/>
  <c r="J27" i="18" s="1"/>
  <c r="J28" i="18" s="1"/>
  <c r="D24" i="14" l="1"/>
  <c r="D25" i="14" s="1"/>
  <c r="D19" i="18"/>
  <c r="D21" i="18" s="1"/>
  <c r="E4" i="18" s="1"/>
  <c r="E25" i="18" s="1"/>
  <c r="E26" i="18" s="1"/>
  <c r="D38" i="4"/>
  <c r="D19" i="7" s="1"/>
  <c r="D21" i="7" s="1"/>
  <c r="E18" i="7" s="1"/>
  <c r="D26" i="18"/>
  <c r="D30" i="18"/>
  <c r="D31" i="18" s="1"/>
  <c r="E14" i="18"/>
  <c r="E31" i="4"/>
  <c r="E46" i="7"/>
  <c r="E48" i="7" s="1"/>
  <c r="E50" i="7" s="1"/>
  <c r="E22" i="7"/>
  <c r="C22" i="14"/>
  <c r="E21" i="14"/>
  <c r="J38" i="4"/>
  <c r="J19" i="7" s="1"/>
  <c r="F20" i="18" l="1"/>
  <c r="F47" i="7"/>
  <c r="D26" i="14"/>
  <c r="D27" i="14" s="1"/>
  <c r="D28" i="14" s="1"/>
  <c r="D29" i="14" s="1"/>
  <c r="E15" i="18"/>
  <c r="D14" i="7"/>
  <c r="D25" i="7"/>
  <c r="D35" i="7"/>
  <c r="D36" i="7" s="1"/>
  <c r="E22" i="14"/>
  <c r="C23" i="14"/>
  <c r="E34" i="7"/>
  <c r="E41" i="7"/>
  <c r="E42" i="7" s="1"/>
  <c r="E34" i="4"/>
  <c r="D7" i="13"/>
  <c r="D9" i="13" s="1"/>
  <c r="D11" i="13" s="1"/>
  <c r="D13" i="13" s="1"/>
  <c r="D14" i="13" s="1"/>
  <c r="E35" i="4" s="1"/>
  <c r="E16" i="18" s="1"/>
  <c r="G20" i="18" l="1"/>
  <c r="G47" i="7"/>
  <c r="D30" i="14"/>
  <c r="D31" i="14" s="1"/>
  <c r="D32" i="14" s="1"/>
  <c r="D33" i="14" s="1"/>
  <c r="E17" i="18"/>
  <c r="D15" i="7"/>
  <c r="D28" i="7"/>
  <c r="D30" i="7" s="1"/>
  <c r="E36" i="4"/>
  <c r="D7" i="20"/>
  <c r="E23" i="14"/>
  <c r="C24" i="14"/>
  <c r="H20" i="18" l="1"/>
  <c r="H47" i="7"/>
  <c r="D34" i="14"/>
  <c r="D35" i="14" s="1"/>
  <c r="D36" i="14" s="1"/>
  <c r="I20" i="18" s="1"/>
  <c r="C25" i="14"/>
  <c r="E24" i="14"/>
  <c r="F27" i="4" s="1"/>
  <c r="F29" i="4" s="1"/>
  <c r="D8" i="20"/>
  <c r="E37" i="4"/>
  <c r="E18" i="18" s="1"/>
  <c r="I47" i="7" l="1"/>
  <c r="E27" i="18"/>
  <c r="E19" i="18"/>
  <c r="E21" i="18" s="1"/>
  <c r="F14" i="18"/>
  <c r="F31" i="4"/>
  <c r="F46" i="7"/>
  <c r="F48" i="7" s="1"/>
  <c r="F50" i="7" s="1"/>
  <c r="F22" i="7"/>
  <c r="C26" i="14"/>
  <c r="E25" i="14"/>
  <c r="E38" i="4"/>
  <c r="E19" i="7" s="1"/>
  <c r="E21" i="7" s="1"/>
  <c r="C27" i="14" l="1"/>
  <c r="E26" i="14"/>
  <c r="E14" i="7"/>
  <c r="F4" i="18"/>
  <c r="F41" i="7"/>
  <c r="F42" i="7" s="1"/>
  <c r="F34" i="7"/>
  <c r="F34" i="4"/>
  <c r="E7" i="13"/>
  <c r="E9" i="13" s="1"/>
  <c r="E11" i="13" s="1"/>
  <c r="E13" i="13" s="1"/>
  <c r="E14" i="13" s="1"/>
  <c r="F35" i="4" s="1"/>
  <c r="F16" i="18" s="1"/>
  <c r="F18" i="7"/>
  <c r="E35" i="7"/>
  <c r="E36" i="7" s="1"/>
  <c r="E25" i="7"/>
  <c r="E28" i="18"/>
  <c r="E30" i="18"/>
  <c r="E31" i="18" s="1"/>
  <c r="E7" i="20" l="1"/>
  <c r="F36" i="4"/>
  <c r="F25" i="18"/>
  <c r="F26" i="18" s="1"/>
  <c r="F15" i="18"/>
  <c r="F17" i="18" s="1"/>
  <c r="E15" i="7"/>
  <c r="E28" i="7"/>
  <c r="E30" i="7" s="1"/>
  <c r="C28" i="14"/>
  <c r="E27" i="14"/>
  <c r="E28" i="14" l="1"/>
  <c r="G27" i="4" s="1"/>
  <c r="G29" i="4" s="1"/>
  <c r="G22" i="7"/>
  <c r="C29" i="14"/>
  <c r="F37" i="4"/>
  <c r="E8" i="20"/>
  <c r="F18" i="18" l="1"/>
  <c r="F38" i="4"/>
  <c r="F19" i="7" s="1"/>
  <c r="F21" i="7" s="1"/>
  <c r="C30" i="14"/>
  <c r="E29" i="14"/>
  <c r="G34" i="7"/>
  <c r="G41" i="7"/>
  <c r="G42" i="7" s="1"/>
  <c r="G14" i="18"/>
  <c r="G46" i="7"/>
  <c r="G48" i="7" s="1"/>
  <c r="G50" i="7" s="1"/>
  <c r="G31" i="4"/>
  <c r="E30" i="14" l="1"/>
  <c r="C31" i="14"/>
  <c r="G18" i="7"/>
  <c r="F35" i="7"/>
  <c r="F36" i="7" s="1"/>
  <c r="F25" i="7"/>
  <c r="F7" i="13"/>
  <c r="F9" i="13" s="1"/>
  <c r="F11" i="13" s="1"/>
  <c r="F13" i="13" s="1"/>
  <c r="F14" i="13" s="1"/>
  <c r="G35" i="4" s="1"/>
  <c r="G16" i="18" s="1"/>
  <c r="G34" i="4"/>
  <c r="F27" i="18"/>
  <c r="F19" i="18"/>
  <c r="F21" i="18" s="1"/>
  <c r="F28" i="18" l="1"/>
  <c r="F30" i="18"/>
  <c r="F31" i="18" s="1"/>
  <c r="G36" i="4"/>
  <c r="F7" i="20"/>
  <c r="C32" i="14"/>
  <c r="E31" i="14"/>
  <c r="G4" i="18"/>
  <c r="F14" i="7"/>
  <c r="F28" i="7" l="1"/>
  <c r="F30" i="7" s="1"/>
  <c r="F15" i="7"/>
  <c r="H22" i="7"/>
  <c r="E32" i="14"/>
  <c r="H27" i="4" s="1"/>
  <c r="H29" i="4" s="1"/>
  <c r="C33" i="14"/>
  <c r="G25" i="18"/>
  <c r="G26" i="18" s="1"/>
  <c r="G15" i="18"/>
  <c r="G17" i="18" s="1"/>
  <c r="G37" i="4"/>
  <c r="G18" i="18" s="1"/>
  <c r="G27" i="18" s="1"/>
  <c r="G28" i="18" s="1"/>
  <c r="F8" i="20"/>
  <c r="G19" i="18" l="1"/>
  <c r="G21" i="18" s="1"/>
  <c r="H4" i="18" s="1"/>
  <c r="H25" i="18" s="1"/>
  <c r="C34" i="14"/>
  <c r="E33" i="14"/>
  <c r="G30" i="18"/>
  <c r="G31" i="18" s="1"/>
  <c r="H14" i="18"/>
  <c r="H46" i="7"/>
  <c r="H48" i="7" s="1"/>
  <c r="H50" i="7" s="1"/>
  <c r="H31" i="4"/>
  <c r="H34" i="7"/>
  <c r="H41" i="7"/>
  <c r="H42" i="7" s="1"/>
  <c r="F43" i="7" s="1"/>
  <c r="G38" i="4"/>
  <c r="G19" i="7" s="1"/>
  <c r="G21" i="7" s="1"/>
  <c r="H15" i="18" l="1"/>
  <c r="G14" i="7"/>
  <c r="G7" i="13"/>
  <c r="G9" i="13" s="1"/>
  <c r="G11" i="13" s="1"/>
  <c r="G13" i="13" s="1"/>
  <c r="G14" i="13" s="1"/>
  <c r="H35" i="4" s="1"/>
  <c r="H16" i="18" s="1"/>
  <c r="H34" i="4"/>
  <c r="G25" i="7"/>
  <c r="G35" i="7"/>
  <c r="G36" i="7" s="1"/>
  <c r="H18" i="7"/>
  <c r="C35" i="14"/>
  <c r="E34" i="14"/>
  <c r="H26" i="18"/>
  <c r="H17" i="18" l="1"/>
  <c r="G28" i="7"/>
  <c r="G30" i="7" s="1"/>
  <c r="G15" i="7"/>
  <c r="C36" i="14"/>
  <c r="E36" i="14" s="1"/>
  <c r="E35" i="14"/>
  <c r="G7" i="20"/>
  <c r="H36" i="4"/>
  <c r="I27" i="4" l="1"/>
  <c r="I29" i="4" s="1"/>
  <c r="H37" i="4"/>
  <c r="G8" i="20"/>
  <c r="I14" i="18" l="1"/>
  <c r="I46" i="7"/>
  <c r="I48" i="7" s="1"/>
  <c r="I50" i="7" s="1"/>
  <c r="I31" i="4"/>
  <c r="H18" i="18"/>
  <c r="H38" i="4"/>
  <c r="H19" i="7" s="1"/>
  <c r="H21" i="7" s="1"/>
  <c r="I34" i="4" l="1"/>
  <c r="H7" i="13"/>
  <c r="H9" i="13" s="1"/>
  <c r="H11" i="13" s="1"/>
  <c r="H13" i="13" s="1"/>
  <c r="H14" i="13" s="1"/>
  <c r="I35" i="4" s="1"/>
  <c r="I16" i="18" s="1"/>
  <c r="H27" i="18"/>
  <c r="H19" i="18"/>
  <c r="H21" i="18" s="1"/>
  <c r="H25" i="7"/>
  <c r="I18" i="7"/>
  <c r="H35" i="7"/>
  <c r="H36" i="7" s="1"/>
  <c r="H7" i="20" l="1"/>
  <c r="I36" i="4"/>
  <c r="I4" i="18"/>
  <c r="H14" i="7"/>
  <c r="H28" i="18"/>
  <c r="H30" i="18"/>
  <c r="H31" i="18" s="1"/>
  <c r="H8" i="20" l="1"/>
  <c r="I37" i="4"/>
  <c r="I18" i="18" s="1"/>
  <c r="I27" i="18" s="1"/>
  <c r="I28" i="18" s="1"/>
  <c r="H28" i="7"/>
  <c r="H30" i="7" s="1"/>
  <c r="H15" i="7"/>
  <c r="I15" i="18"/>
  <c r="I17" i="18" s="1"/>
  <c r="I25" i="18"/>
  <c r="I19" i="18" l="1"/>
  <c r="I21" i="18" s="1"/>
  <c r="I14" i="7" s="1"/>
  <c r="I38" i="4"/>
  <c r="I19" i="7" s="1"/>
  <c r="I21" i="7" s="1"/>
  <c r="I25" i="7" s="1"/>
  <c r="I26" i="18"/>
  <c r="I30" i="18"/>
  <c r="I31" i="18" s="1"/>
  <c r="J4" i="18" l="1"/>
  <c r="J15" i="18" s="1"/>
  <c r="J17" i="18" s="1"/>
  <c r="J19" i="18" s="1"/>
  <c r="J21" i="18" s="1"/>
  <c r="J18" i="7"/>
  <c r="J21" i="7" s="1"/>
  <c r="K18" i="7" s="1"/>
  <c r="I35" i="7"/>
  <c r="I36" i="7" s="1"/>
  <c r="I28" i="7"/>
  <c r="I30" i="7" s="1"/>
  <c r="I15" i="7"/>
  <c r="J25" i="18" l="1"/>
  <c r="J26" i="18" s="1"/>
  <c r="J25" i="7"/>
  <c r="J35" i="7"/>
  <c r="J36" i="7" s="1"/>
  <c r="K4" i="18"/>
  <c r="J14" i="7"/>
  <c r="J30" i="18" l="1"/>
  <c r="J31" i="18" s="1"/>
  <c r="J15" i="7"/>
  <c r="J28" i="7"/>
  <c r="J30" i="7" s="1"/>
  <c r="J8" i="19"/>
  <c r="K23" i="4" s="1"/>
  <c r="J24" i="19"/>
  <c r="K18" i="4"/>
  <c r="K20" i="4" l="1"/>
  <c r="K12" i="18" s="1"/>
  <c r="K12" i="7"/>
  <c r="K9" i="18" s="1"/>
  <c r="K3" i="15"/>
  <c r="J3" i="20"/>
  <c r="K13" i="7"/>
  <c r="K14" i="4"/>
  <c r="K22" i="4" l="1"/>
  <c r="J4" i="20" s="1"/>
  <c r="J5" i="20" s="1"/>
  <c r="J6" i="20" s="1"/>
  <c r="K25" i="18"/>
  <c r="K15" i="18"/>
  <c r="K24" i="4" l="1"/>
  <c r="K49" i="7" s="1"/>
  <c r="K50" i="7" s="1"/>
  <c r="F51" i="7" s="1"/>
  <c r="K26" i="18"/>
  <c r="K31" i="4" l="1"/>
  <c r="J7" i="13" s="1"/>
  <c r="J9" i="13" s="1"/>
  <c r="J11" i="13" s="1"/>
  <c r="J13" i="13" s="1"/>
  <c r="J14" i="13" s="1"/>
  <c r="K35" i="4" s="1"/>
  <c r="K16" i="18" s="1"/>
  <c r="K34" i="4" l="1"/>
  <c r="K36" i="4" s="1"/>
  <c r="K17" i="18"/>
  <c r="J7" i="20" l="1"/>
  <c r="J8" i="20"/>
  <c r="K37" i="4"/>
  <c r="K18" i="18" s="1"/>
  <c r="K27" i="18" s="1"/>
  <c r="K28" i="18" l="1"/>
  <c r="K30" i="18"/>
  <c r="K31" i="18" s="1"/>
  <c r="L31" i="18" s="1"/>
  <c r="K38" i="4"/>
  <c r="K19" i="7" s="1"/>
  <c r="K21" i="7" s="1"/>
  <c r="K19" i="18"/>
  <c r="K21" i="18" s="1"/>
  <c r="K14" i="7" s="1"/>
  <c r="K15" i="7" l="1"/>
  <c r="K28" i="7"/>
  <c r="K30" i="7" s="1"/>
  <c r="F31" i="7" s="1"/>
  <c r="K25" i="7"/>
  <c r="K35" i="7"/>
  <c r="K36" i="7" s="1"/>
  <c r="F37" i="7" s="1"/>
</calcChain>
</file>

<file path=xl/sharedStrings.xml><?xml version="1.0" encoding="utf-8"?>
<sst xmlns="http://schemas.openxmlformats.org/spreadsheetml/2006/main" count="445" uniqueCount="323">
  <si>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</si>
  <si>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</si>
  <si>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</si>
  <si>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</si>
  <si>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</si>
  <si>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</si>
  <si>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</si>
  <si>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</si>
  <si>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</si>
  <si>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</si>
  <si>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</si>
  <si>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</si>
  <si>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</si>
  <si>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</si>
  <si>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</si>
  <si>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</si>
  <si>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</si>
  <si>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</si>
  <si>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</si>
  <si>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</si>
  <si>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</si>
  <si>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</si>
  <si>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</si>
  <si>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</si>
  <si>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</si>
  <si>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</si>
  <si>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</si>
  <si>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</si>
  <si>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</si>
  <si>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</si>
  <si>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</si>
  <si>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</si>
  <si>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</si>
  <si>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</si>
  <si>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</si>
  <si>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</si>
  <si>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</si>
  <si>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</si>
  <si>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</si>
  <si>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</si>
  <si>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</si>
  <si>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</si>
  <si>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</si>
  <si>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</si>
  <si>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</si>
  <si>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</si>
  <si>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</si>
  <si>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</si>
  <si>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</si>
  <si>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</si>
  <si>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</si>
  <si>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</si>
  <si>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</si>
  <si>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</si>
  <si>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</si>
  <si>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</si>
  <si>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</si>
  <si>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</si>
  <si>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</si>
  <si>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</si>
  <si>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</si>
  <si>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</si>
  <si>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</si>
  <si>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</si>
  <si>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Misc Fixed Asset</t>
  </si>
  <si>
    <t>Amount in lakhs</t>
  </si>
  <si>
    <t>Rates of Depreciation</t>
  </si>
  <si>
    <t>Year</t>
  </si>
  <si>
    <t>Annexure 11- Break even analysis (At maximum capacity utilization)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</si>
  <si>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</si>
  <si>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</si>
  <si>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</si>
  <si>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</si>
  <si>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</si>
  <si>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</si>
  <si>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</si>
  <si>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</si>
  <si>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</si>
  <si>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</si>
  <si>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</si>
  <si>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</si>
  <si>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</si>
  <si>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</si>
  <si>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</si>
  <si>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</si>
  <si>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</si>
  <si>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</si>
  <si>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</si>
  <si>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</si>
  <si>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</si>
  <si>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</si>
  <si>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</si>
  <si>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</si>
  <si>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</si>
  <si>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</si>
  <si>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</si>
  <si>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</si>
  <si>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</si>
  <si>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</si>
  <si>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</si>
  <si>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</si>
  <si>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</si>
  <si>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</si>
  <si>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</si>
  <si>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</si>
  <si>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</si>
  <si>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</si>
  <si>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</si>
  <si>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</si>
  <si>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</si>
  <si>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</si>
  <si>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</si>
  <si>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</si>
  <si>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Asset</t>
  </si>
  <si>
    <t>Fixed Capital expenditure</t>
  </si>
  <si>
    <t>Gross Block</t>
  </si>
  <si>
    <t>Less- Depreciation</t>
  </si>
  <si>
    <t>Sundry debtors</t>
  </si>
  <si>
    <t>Cash/ bank balance</t>
  </si>
  <si>
    <t>Liabilities</t>
  </si>
  <si>
    <t>Capital</t>
  </si>
  <si>
    <t>Add- Profit</t>
  </si>
  <si>
    <t>Less- Drawings</t>
  </si>
  <si>
    <t>Closing capital</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</si>
  <si>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</si>
  <si>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</si>
  <si>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</si>
  <si>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</si>
  <si>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</si>
  <si>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</si>
  <si>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</si>
  <si>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</si>
  <si>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</si>
  <si>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</si>
  <si>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</si>
  <si>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</si>
  <si>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</si>
  <si>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</si>
  <si>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</si>
  <si>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</si>
  <si>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</si>
  <si>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</si>
  <si>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</si>
  <si>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</si>
  <si>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</si>
  <si>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</si>
  <si>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</si>
  <si>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</si>
  <si>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</si>
  <si>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</si>
  <si>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Creditors</t>
  </si>
  <si>
    <t>Total manpower</t>
  </si>
  <si>
    <t>opening balance</t>
  </si>
  <si>
    <t>Add: Sales realizations</t>
  </si>
  <si>
    <t>Less: Interest payments</t>
  </si>
  <si>
    <t>Working capital</t>
  </si>
  <si>
    <t>Interest on WC Loan</t>
  </si>
  <si>
    <t>Site Development</t>
  </si>
  <si>
    <t>Sales Budget</t>
  </si>
  <si>
    <t>Products</t>
  </si>
  <si>
    <t>Production at 100% capacity</t>
  </si>
  <si>
    <t>Output</t>
  </si>
  <si>
    <t>Electricity expense</t>
  </si>
  <si>
    <t>Usage in units</t>
  </si>
  <si>
    <t>Cost of Production</t>
  </si>
  <si>
    <t>Sub Total</t>
  </si>
  <si>
    <t>Total depreciation for the year</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</si>
  <si>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</si>
  <si>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</si>
  <si>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</si>
  <si>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</si>
  <si>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</si>
  <si>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</si>
  <si>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</si>
  <si>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</si>
  <si>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</si>
  <si>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</si>
  <si>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</si>
  <si>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</si>
  <si>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</si>
  <si>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</si>
  <si>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</si>
  <si>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</si>
  <si>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</si>
  <si>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</si>
  <si>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</si>
  <si>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</si>
  <si>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</si>
  <si>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</si>
  <si>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</si>
  <si>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</si>
  <si>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</si>
  <si>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</si>
  <si>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</si>
  <si>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</si>
  <si>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</si>
  <si>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</si>
  <si>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</si>
  <si>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</si>
  <si>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</si>
  <si>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</si>
  <si>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</si>
  <si>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</si>
  <si>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</si>
  <si>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</si>
  <si>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</si>
  <si>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</si>
  <si>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</si>
  <si>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</si>
  <si>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</si>
  <si>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</si>
  <si>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DPR without subsidy</t>
  </si>
  <si>
    <t>Annual cost</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</si>
  <si>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</si>
  <si>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</si>
  <si>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</si>
  <si>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</si>
  <si>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</si>
  <si>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</si>
  <si>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</si>
  <si>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</si>
  <si>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</si>
  <si>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</si>
  <si>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</si>
  <si>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</si>
  <si>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</si>
  <si>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</si>
  <si>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</si>
  <si>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</si>
  <si>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</si>
  <si>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</si>
  <si>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</si>
  <si>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1. Civil Work</t>
  </si>
  <si>
    <t>Total Civil Work</t>
  </si>
  <si>
    <t>Per annum capacity in kgs</t>
  </si>
  <si>
    <t>Estimated ocupational capacity</t>
  </si>
  <si>
    <t>Less: Pre incorporation expense</t>
  </si>
  <si>
    <t>Electricity fixed charge</t>
  </si>
  <si>
    <t>BEP in kgs</t>
  </si>
  <si>
    <t>Less: Fixed costs</t>
  </si>
  <si>
    <t>Rs. per kg</t>
  </si>
  <si>
    <t>Civil work for building</t>
  </si>
  <si>
    <t>Accountant cum cashier</t>
  </si>
  <si>
    <t>Mechanic</t>
  </si>
  <si>
    <t>Labour</t>
  </si>
  <si>
    <t>Insurance cost @ 2% of purchase cost</t>
  </si>
  <si>
    <t>It is assumed that insuarance cost is 2% of purchase price and this will increase 5% annually</t>
  </si>
  <si>
    <t>Add: Opening Stock</t>
  </si>
  <si>
    <t>Less: Closing Stock</t>
  </si>
  <si>
    <t>Operational days</t>
  </si>
  <si>
    <t>Production Budget</t>
  </si>
  <si>
    <t>Estimation of Production capacity</t>
  </si>
  <si>
    <t>Opening Stock</t>
  </si>
  <si>
    <t>Production</t>
  </si>
  <si>
    <t>Closing Stock</t>
  </si>
  <si>
    <t>Distribution of profits (80%)</t>
  </si>
  <si>
    <t>Less: Land purchase</t>
  </si>
  <si>
    <t>Closing stock</t>
  </si>
  <si>
    <t>1. asssumed that 90 days of purchases are average creditors maintained</t>
  </si>
  <si>
    <t>Asssumed that 90 days of purchases are average creditors maintained</t>
  </si>
  <si>
    <t>Production capacity (kgs)</t>
  </si>
  <si>
    <t>Total Financial expense</t>
  </si>
  <si>
    <t>Variable costs</t>
  </si>
  <si>
    <t>Electricity cost</t>
  </si>
  <si>
    <t>Running and maintenance</t>
  </si>
  <si>
    <t>Interest on working capital</t>
  </si>
  <si>
    <t>Contribution per unit</t>
  </si>
  <si>
    <t>Fixed charges for office</t>
  </si>
  <si>
    <t>Fixed charge for office</t>
  </si>
  <si>
    <t>2. assumed that 60 days of sales are average debtors maintained by the business</t>
  </si>
  <si>
    <t>Assumed that 60 days of sales are average debtors maintained by the business</t>
  </si>
  <si>
    <t>2. Electricity usage in units is given below</t>
  </si>
  <si>
    <t>3. It is assumed that insuarance cost is 2% of purchase price and this will increase 5% annually</t>
  </si>
  <si>
    <t>Sales (kgs)</t>
  </si>
  <si>
    <t>Revenue in Rs.</t>
  </si>
  <si>
    <t>Input required to produce above output (kgs)</t>
  </si>
  <si>
    <t>iv.</t>
  </si>
  <si>
    <t>Helpers</t>
  </si>
  <si>
    <t>Sales prices per kg</t>
  </si>
  <si>
    <t>Purchase price per kg</t>
  </si>
  <si>
    <t>Insurance cost</t>
  </si>
  <si>
    <t>Add: benefits @ 30%</t>
  </si>
  <si>
    <t>Projected Balance sheet</t>
  </si>
  <si>
    <t>Annexure 8 - Details of Manpower</t>
  </si>
  <si>
    <t>Annexure 14 - Cash flow statement</t>
  </si>
  <si>
    <t>Net Block</t>
  </si>
  <si>
    <t>Total Interest</t>
  </si>
  <si>
    <t>Break even capacity at maximum capacity utilization</t>
  </si>
  <si>
    <t>Assumed input output ratio is 0.6:1,i.e., to say that 1 kg of rhisomes produce 600 grams of turmeric powder</t>
  </si>
  <si>
    <t>Ann 14'!A1</t>
  </si>
  <si>
    <t>Civil work</t>
  </si>
  <si>
    <t>v.</t>
  </si>
  <si>
    <t>Security</t>
  </si>
  <si>
    <t>Packing charges</t>
  </si>
  <si>
    <t>Selling expense</t>
  </si>
  <si>
    <t>Input cost of rhizomes would increase 10% per annum and there would be 5% wastage in processing on inputs</t>
  </si>
  <si>
    <t>Electricity are semi-fixed cost. Rs. 150,000 pa is fixed, balance is variable at Rs. 14 per unit usage</t>
  </si>
  <si>
    <t>1. Electricity are semi-fixed cost. Rs. 150,000 pa is fixed, balance is variable at Rs. 14 per unit usage</t>
  </si>
  <si>
    <t>Dryer</t>
  </si>
  <si>
    <t>Assumed that 1000 kg per hour is the production capacity</t>
  </si>
  <si>
    <t>2. Plant and machinery**</t>
  </si>
  <si>
    <t xml:space="preserve">** The Plant and Machinery cost estimate is as per the available technology </t>
  </si>
  <si>
    <t>225 dys</t>
  </si>
  <si>
    <t>assumed that the output is sold in wholesale market</t>
  </si>
  <si>
    <t>Running and Manintenance expense @15% of raw material</t>
  </si>
  <si>
    <t>Packaging cahrges @ Rs. 2 per kg</t>
  </si>
  <si>
    <t>Selling charges @ Rs. 1 per kg</t>
  </si>
  <si>
    <t>Automatic chilly gringing machine</t>
  </si>
  <si>
    <t>Capacity</t>
  </si>
  <si>
    <t>Digital weighing scale</t>
  </si>
  <si>
    <t>Packaging machine</t>
  </si>
  <si>
    <t>Sieving machine</t>
  </si>
  <si>
    <t>upto 4000 kg per day</t>
  </si>
  <si>
    <t>Input chilly</t>
  </si>
  <si>
    <t>Quality testing equipments</t>
  </si>
  <si>
    <t>upto 300 kg per hr</t>
  </si>
  <si>
    <t>Washing tank</t>
  </si>
  <si>
    <t>Grading machine</t>
  </si>
  <si>
    <t>Miscellaneous</t>
  </si>
  <si>
    <t>4. Closing stock is valued at Rs 145 (avg cost)</t>
  </si>
  <si>
    <t>5. Input cost of chilly would increase 10% per annum while 5% of input is wasted.</t>
  </si>
  <si>
    <t>Input chilly cost</t>
  </si>
  <si>
    <t>For the first year of operation the break-even capacity comes at 47.23% capacity, it is because of the fact that in the Initial year the fixed expense of consultancy for project is taken in to consideration for calculation of BEP. considering our operational capacity in year 1 to be 60% which is more than the BEP, hence we can conclude that the project is sound enough to cover its fixed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</si>
</sst>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0.0000"/>
    <numFmt numFmtId="169"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
      <name val="Adobe Devanagari"/>
      <family val="1"/>
    </font>
    <font>
      <u/>
      <sz val="11"/>
      <color theme="10"/>
      <name val="Adobe Devanagari"/>
      <family val="1"/>
    </font>
    <font>
      <sz val="11"/>
      <color theme="0"/>
      <name val="Adobe Devanagari"/>
      <family val="1"/>
    </font>
    <font>
      <sz val="11"/>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46">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7" fillId="3" borderId="2" xfId="0" applyFont="1" applyFill="1" applyBorder="1"/>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0" fontId="5" fillId="0" borderId="11" xfId="0" applyFont="1" applyBorder="1"/>
    <xf numFmtId="43" fontId="5" fillId="0" borderId="9" xfId="1" applyFont="1" applyBorder="1"/>
    <xf numFmtId="43" fontId="5" fillId="0" borderId="9" xfId="1" applyNumberFormat="1" applyFont="1" applyBorder="1"/>
    <xf numFmtId="43" fontId="6" fillId="0" borderId="9" xfId="1" applyNumberFormat="1" applyFont="1" applyBorder="1"/>
    <xf numFmtId="43" fontId="5" fillId="0" borderId="9" xfId="0" applyNumberFormat="1" applyFont="1" applyBorder="1"/>
    <xf numFmtId="0" fontId="6" fillId="0" borderId="11" xfId="0" applyFont="1" applyBorder="1" applyAlignment="1">
      <alignment wrapText="1"/>
    </xf>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0" xfId="0" applyFont="1" applyAlignment="1">
      <alignment horizontal="left"/>
    </xf>
    <xf numFmtId="0" fontId="6" fillId="0" borderId="8" xfId="0" applyFont="1" applyBorder="1"/>
    <xf numFmtId="0" fontId="6" fillId="0" borderId="0" xfId="0" applyFont="1" applyBorder="1"/>
    <xf numFmtId="43" fontId="6" fillId="0" borderId="9" xfId="0" applyNumberFormat="1"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6" fillId="3" borderId="2" xfId="0" applyFont="1" applyFill="1" applyBorder="1"/>
    <xf numFmtId="0" fontId="6" fillId="0" borderId="1" xfId="0" applyFont="1" applyBorder="1"/>
    <xf numFmtId="0" fontId="8" fillId="0" borderId="1" xfId="3" quotePrefix="1" applyFont="1" applyBorder="1"/>
    <xf numFmtId="0" fontId="8" fillId="0" borderId="1" xfId="3" applyFont="1" applyBorder="1"/>
    <xf numFmtId="0" fontId="6" fillId="0" borderId="5" xfId="0" applyFont="1" applyBorder="1"/>
    <xf numFmtId="0" fontId="6" fillId="0" borderId="6" xfId="0" applyFont="1" applyBorder="1" applyAlignment="1">
      <alignment horizontal="left" wrapText="1"/>
    </xf>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164" fontId="6" fillId="0" borderId="9" xfId="1" applyNumberFormat="1" applyFont="1" applyFill="1" applyBorder="1" applyAlignment="1">
      <alignment horizontal="left"/>
    </xf>
    <xf numFmtId="164" fontId="6" fillId="0" borderId="9" xfId="1" applyNumberFormat="1" applyFont="1" applyBorder="1" applyAlignment="1">
      <alignment horizontal="left"/>
    </xf>
    <xf numFmtId="0" fontId="5" fillId="0" borderId="2" xfId="0" applyFont="1" applyBorder="1"/>
    <xf numFmtId="0" fontId="5" fillId="0" borderId="3" xfId="0" applyFont="1" applyBorder="1"/>
    <xf numFmtId="164" fontId="5" fillId="0" borderId="4" xfId="0" applyNumberFormat="1" applyFont="1" applyBorder="1"/>
    <xf numFmtId="0" fontId="5" fillId="0" borderId="0" xfId="0" applyFont="1" applyFill="1"/>
    <xf numFmtId="43" fontId="6" fillId="0" borderId="0" xfId="0" applyNumberFormat="1" applyFont="1"/>
    <xf numFmtId="164" fontId="6" fillId="0" borderId="0" xfId="0" applyNumberFormat="1" applyFont="1"/>
    <xf numFmtId="164" fontId="6" fillId="0" borderId="1" xfId="1" applyNumberFormat="1" applyFont="1" applyBorder="1"/>
    <xf numFmtId="0" fontId="6" fillId="0" borderId="1" xfId="0" applyFont="1" applyFill="1" applyBorder="1"/>
    <xf numFmtId="0" fontId="6" fillId="3" borderId="1" xfId="0" applyFont="1" applyFill="1" applyBorder="1" applyAlignment="1">
      <alignment horizontal="center"/>
    </xf>
    <xf numFmtId="0" fontId="6" fillId="3" borderId="1" xfId="0" applyFont="1" applyFill="1" applyBorder="1" applyAlignment="1">
      <alignment horizontal="center"/>
    </xf>
    <xf numFmtId="0" fontId="6" fillId="3" borderId="6" xfId="0" applyFont="1" applyFill="1" applyBorder="1" applyAlignment="1">
      <alignment horizontal="center" vertical="center"/>
    </xf>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0" fontId="6" fillId="0" borderId="0" xfId="0" applyFont="1" applyFill="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0" borderId="13" xfId="0" applyFont="1" applyBorder="1"/>
    <xf numFmtId="0" fontId="6" fillId="0" borderId="14" xfId="0" applyFont="1" applyBorder="1"/>
    <xf numFmtId="0" fontId="6" fillId="0" borderId="12" xfId="0" applyFont="1" applyBorder="1"/>
    <xf numFmtId="0" fontId="6" fillId="0" borderId="10" xfId="0" applyFont="1" applyBorder="1"/>
    <xf numFmtId="0" fontId="6" fillId="3" borderId="1" xfId="0" applyFont="1" applyFill="1" applyBorder="1" applyAlignment="1">
      <alignment horizontal="center" vertical="center"/>
    </xf>
    <xf numFmtId="0" fontId="6" fillId="3" borderId="8" xfId="0" applyFont="1" applyFill="1" applyBorder="1"/>
    <xf numFmtId="0" fontId="6" fillId="3" borderId="0" xfId="0" applyFont="1" applyFill="1" applyBorder="1"/>
    <xf numFmtId="0" fontId="6" fillId="3" borderId="11" xfId="0" applyFont="1" applyFill="1" applyBorder="1"/>
    <xf numFmtId="0" fontId="6" fillId="3" borderId="9" xfId="0" applyFont="1" applyFill="1" applyBorder="1"/>
    <xf numFmtId="164" fontId="6" fillId="3" borderId="9" xfId="0" applyNumberFormat="1" applyFont="1" applyFill="1" applyBorder="1"/>
    <xf numFmtId="0" fontId="7" fillId="0" borderId="0" xfId="0" applyFont="1"/>
    <xf numFmtId="164" fontId="6" fillId="0" borderId="1" xfId="0" applyNumberFormat="1" applyFont="1" applyBorder="1"/>
    <xf numFmtId="0" fontId="6" fillId="0" borderId="6" xfId="0"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43" fontId="6" fillId="0" borderId="1" xfId="1" applyFont="1" applyBorder="1"/>
    <xf numFmtId="0" fontId="6" fillId="3" borderId="0" xfId="0" applyFont="1" applyFill="1"/>
    <xf numFmtId="0" fontId="7" fillId="3" borderId="0" xfId="0" applyFont="1" applyFill="1"/>
    <xf numFmtId="164" fontId="6" fillId="0" borderId="0" xfId="1" applyNumberFormat="1" applyFont="1"/>
    <xf numFmtId="0" fontId="6" fillId="0" borderId="0" xfId="0" quotePrefix="1" applyFont="1"/>
    <xf numFmtId="10" fontId="6" fillId="0" borderId="1" xfId="2" applyNumberFormat="1" applyFont="1" applyBorder="1"/>
    <xf numFmtId="9" fontId="6" fillId="0" borderId="1" xfId="0" applyNumberFormat="1" applyFont="1" applyBorder="1" applyAlignment="1">
      <alignment horizontal="center"/>
    </xf>
    <xf numFmtId="164" fontId="6" fillId="0" borderId="1" xfId="1" applyNumberFormat="1" applyFont="1" applyBorder="1" applyAlignment="1">
      <alignment horizontal="right"/>
    </xf>
    <xf numFmtId="164" fontId="6" fillId="0" borderId="0" xfId="1" applyNumberFormat="1" applyFont="1" applyFill="1"/>
    <xf numFmtId="0" fontId="6" fillId="0" borderId="0" xfId="0" applyFont="1" applyFill="1"/>
    <xf numFmtId="16" fontId="6" fillId="0" borderId="0" xfId="0" applyNumberFormat="1" applyFont="1"/>
    <xf numFmtId="164" fontId="6" fillId="0" borderId="0" xfId="1" applyNumberFormat="1" applyFont="1" applyAlignment="1">
      <alignment horizontal="right"/>
    </xf>
    <xf numFmtId="0" fontId="6" fillId="0" borderId="1" xfId="0" applyFont="1" applyBorder="1" applyAlignment="1">
      <alignment vertical="top"/>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5" fontId="6" fillId="0" borderId="2" xfId="0" applyNumberFormat="1" applyFont="1" applyBorder="1" applyAlignment="1">
      <alignment vertical="top" wrapText="1"/>
    </xf>
    <xf numFmtId="165" fontId="6" fillId="0" borderId="1" xfId="0" applyNumberFormat="1" applyFont="1" applyBorder="1" applyAlignment="1">
      <alignment vertical="top" wrapText="1"/>
    </xf>
    <xf numFmtId="0" fontId="6" fillId="0" borderId="0" xfId="0" applyFont="1" applyBorder="1" applyAlignment="1">
      <alignment vertical="top"/>
    </xf>
    <xf numFmtId="164" fontId="6" fillId="0" borderId="0" xfId="0" applyNumberFormat="1" applyFont="1" applyBorder="1" applyAlignment="1">
      <alignment vertical="top"/>
    </xf>
    <xf numFmtId="165" fontId="6" fillId="0" borderId="0" xfId="0" applyNumberFormat="1" applyFont="1" applyBorder="1" applyAlignment="1">
      <alignment vertical="top" wrapText="1"/>
    </xf>
    <xf numFmtId="164" fontId="9" fillId="0" borderId="0" xfId="1" applyNumberFormat="1" applyFont="1"/>
    <xf numFmtId="10" fontId="9" fillId="0" borderId="0" xfId="1" applyNumberFormat="1" applyFont="1"/>
    <xf numFmtId="0" fontId="9" fillId="0" borderId="0" xfId="0" applyFont="1"/>
    <xf numFmtId="166" fontId="9" fillId="0" borderId="0" xfId="1" applyNumberFormat="1" applyFont="1"/>
    <xf numFmtId="167" fontId="6" fillId="0" borderId="0" xfId="0" applyNumberFormat="1" applyFont="1"/>
    <xf numFmtId="10" fontId="6" fillId="2" borderId="0" xfId="0" applyNumberFormat="1" applyFont="1" applyFill="1"/>
    <xf numFmtId="0" fontId="6" fillId="2" borderId="0" xfId="0" applyFont="1" applyFill="1" applyAlignment="1">
      <alignment horizontal="right"/>
    </xf>
    <xf numFmtId="0" fontId="10" fillId="0" borderId="0" xfId="0" applyFont="1"/>
    <xf numFmtId="167" fontId="6" fillId="0" borderId="1" xfId="0" applyNumberFormat="1" applyFont="1" applyBorder="1"/>
    <xf numFmtId="43" fontId="6" fillId="0" borderId="11" xfId="1" applyNumberFormat="1" applyFont="1" applyBorder="1"/>
    <xf numFmtId="0" fontId="5" fillId="3" borderId="1" xfId="0" applyFont="1" applyFill="1" applyBorder="1"/>
    <xf numFmtId="0" fontId="5" fillId="0" borderId="1" xfId="0" applyFont="1" applyBorder="1"/>
    <xf numFmtId="9" fontId="5" fillId="0" borderId="1" xfId="0" applyNumberFormat="1" applyFont="1" applyBorder="1"/>
    <xf numFmtId="43" fontId="5" fillId="0" borderId="4" xfId="0" applyNumberFormat="1" applyFont="1" applyBorder="1"/>
    <xf numFmtId="0" fontId="5" fillId="3" borderId="2" xfId="0" applyFont="1" applyFill="1" applyBorder="1"/>
    <xf numFmtId="0" fontId="5" fillId="3" borderId="3" xfId="0" applyFont="1" applyFill="1" applyBorder="1"/>
    <xf numFmtId="0" fontId="5" fillId="3" borderId="4" xfId="0" applyFont="1" applyFill="1" applyBorder="1"/>
    <xf numFmtId="168" fontId="6" fillId="0" borderId="0" xfId="0" applyNumberFormat="1" applyFont="1"/>
    <xf numFmtId="169" fontId="6" fillId="0" borderId="9" xfId="0" applyNumberFormat="1" applyFont="1" applyBorder="1"/>
    <xf numFmtId="0" fontId="6" fillId="3" borderId="3" xfId="0" applyFont="1" applyFill="1" applyBorder="1" applyAlignment="1">
      <alignment horizont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A16" sqref="A16"/>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194</v>
      </c>
    </row>
    <row r="3" spans="1:2" x14ac:dyDescent="0.6">
      <c r="A3" s="126" t="s">
        <v>195</v>
      </c>
      <c r="B3" s="126" t="s">
        <v>196</v>
      </c>
    </row>
    <row r="4" spans="1:2" x14ac:dyDescent="0.6">
      <c r="A4" s="34" t="str">
        <f>'Ann 1'!A3</f>
        <v>Annexure 1 - Estimated cost of the project</v>
      </c>
      <c r="B4" s="35" t="s">
        <v>197</v>
      </c>
    </row>
    <row r="5" spans="1:2" x14ac:dyDescent="0.6">
      <c r="A5" s="34" t="str">
        <f>'Ann 2'!A1</f>
        <v>Annexure 2 - Means of Finance</v>
      </c>
      <c r="B5" s="35" t="s">
        <v>198</v>
      </c>
    </row>
    <row r="6" spans="1:2" x14ac:dyDescent="0.6">
      <c r="A6" s="34" t="str">
        <f>'Ann 3'!A1</f>
        <v>Annexure 3 - Complete Estimate of Civil and Plant and Machinery</v>
      </c>
      <c r="B6" s="35" t="s">
        <v>213</v>
      </c>
    </row>
    <row r="7" spans="1:2" x14ac:dyDescent="0.6">
      <c r="A7" s="34" t="str">
        <f>'Ann 4'!A1</f>
        <v>Annexure 4 - Estimated Cost of Production</v>
      </c>
      <c r="B7" s="35" t="s">
        <v>199</v>
      </c>
    </row>
    <row r="8" spans="1:2" x14ac:dyDescent="0.6">
      <c r="A8" s="34" t="str">
        <f>'Ann 5'!A1</f>
        <v>Annexure 5- Projected balance sheet</v>
      </c>
      <c r="B8" s="35" t="s">
        <v>200</v>
      </c>
    </row>
    <row r="9" spans="1:2" x14ac:dyDescent="0.6">
      <c r="A9" s="34" t="str">
        <f>'Ann 8'!A1</f>
        <v>Annexure 8 - Details of Manpower</v>
      </c>
      <c r="B9" s="35" t="s">
        <v>201</v>
      </c>
    </row>
    <row r="10" spans="1:2" x14ac:dyDescent="0.6">
      <c r="A10" s="34" t="str">
        <f>'Ann 9'!A1</f>
        <v>Annexure 9 - Computation of Depreciation</v>
      </c>
      <c r="B10" s="35" t="s">
        <v>202</v>
      </c>
    </row>
    <row r="11" spans="1:2" x14ac:dyDescent="0.6">
      <c r="A11" s="34" t="str">
        <f>'Ann 10'!A1</f>
        <v>Annexure 10 - Calculation of Income tax</v>
      </c>
      <c r="B11" s="35" t="s">
        <v>203</v>
      </c>
    </row>
    <row r="12" spans="1:2" x14ac:dyDescent="0.6">
      <c r="A12" s="34" t="str">
        <f>'Ann 11'!A1</f>
        <v>Annexure 11- Break even analysis (At maximum capacity utilization)</v>
      </c>
      <c r="B12" s="35" t="s">
        <v>204</v>
      </c>
    </row>
    <row r="13" spans="1:2" x14ac:dyDescent="0.6">
      <c r="A13" s="34" t="str">
        <f>'Ann 13'!A1</f>
        <v>Annexure 13 - Repayment schedule</v>
      </c>
      <c r="B13" s="35" t="s">
        <v>205</v>
      </c>
    </row>
    <row r="14" spans="1:2" x14ac:dyDescent="0.6">
      <c r="A14" s="34" t="str">
        <f>'Ann 14'!A1</f>
        <v>Annexure 14 - Cash flow statement</v>
      </c>
      <c r="B14" s="35" t="s">
        <v>289</v>
      </c>
    </row>
    <row r="15" spans="1:2" x14ac:dyDescent="0.6">
      <c r="A15" s="34" t="str">
        <f>Budgets!A1</f>
        <v>Sales Budget</v>
      </c>
      <c r="B15" s="36" t="s">
        <v>207</v>
      </c>
    </row>
    <row r="16" spans="1:2" x14ac:dyDescent="0.6">
      <c r="A16" s="34" t="str">
        <f>Assumptions!B1</f>
        <v>Assumptions</v>
      </c>
      <c r="B16" s="36" t="s">
        <v>206</v>
      </c>
    </row>
  </sheetData>
  <hyperlinks>
    <hyperlink ref="B4" location="'Ann 1'!A1" display="Ann 1'!A1" xr:uid="{129A53AE-42B4-406F-AE43-98A73E9596B6}"/>
    <hyperlink ref="B5" location="'Ann 2'!A1" display="Ann 2'!A1" xr:uid="{D366D2B7-8C33-4BB9-8360-E73E9FF6CF6A}"/>
    <hyperlink ref="B6" location="'Ann 3'!A1" display="Ann 3'!A1" xr:uid="{1B8772B9-E43D-4AB5-8F5A-638223AF500E}"/>
    <hyperlink ref="B7" location="'Ann 4'!A1" display="Ann 4'!A1" xr:uid="{FAAB8839-5519-4D9B-A59A-73365143B4B9}"/>
    <hyperlink ref="B8" location="'Ann 5'!A1" display="Ann 5'!A1" xr:uid="{345DF3FB-1320-4EE4-BE1D-865969EAB7BC}"/>
    <hyperlink ref="B9" location="'Ann 8'!A1" display="Ann 8'!A1" xr:uid="{42615D31-7A7C-4734-A1CE-F2C2E3B3162A}"/>
    <hyperlink ref="B10" location="'Ann 9'!A1" display="Ann 9'!A1" xr:uid="{B7119FF1-2125-4BB1-8092-9AB11A831D0F}"/>
    <hyperlink ref="B11" location="'Ann 10'!A1" display="Ann 10'!A1" xr:uid="{DFB51339-4F19-4C93-8A40-F6B91391A5EC}"/>
    <hyperlink ref="B12" location="'Ann 11'!A1" display="Ann 11'!A1" xr:uid="{45AE67DC-B5E2-4285-BEE7-A02BF94C1CBE}"/>
    <hyperlink ref="B13" location="'Ann 13'!A1" display="Ann 13'!A1" xr:uid="{C975FC4B-1ADE-4A0F-BED9-979C1D3964AD}"/>
    <hyperlink ref="B14" location="'Ann 14'!A1" display="Ann 14'!A1" xr:uid="{1EB42EDC-9E72-40D8-932F-98050E53BF90}"/>
    <hyperlink ref="B15" location="Budgets!A1" display="Budgets!A1" xr:uid="{93337CD4-EB49-450F-A248-E7178008DA35}"/>
    <hyperlink ref="B16" location="Assumptions!A1" display="Assumptions!A1" xr:uid="{AED17B9E-3962-416C-9671-55949484258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C40"/>
  <sheetViews>
    <sheetView topLeftCell="A21" workbookViewId="0">
      <selection activeCell="C23" sqref="C23"/>
    </sheetView>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211</v>
      </c>
    </row>
    <row r="3" spans="1:3" x14ac:dyDescent="0.6">
      <c r="A3" s="5" t="s">
        <v>0</v>
      </c>
    </row>
    <row r="5" spans="1:3" x14ac:dyDescent="0.6">
      <c r="A5" s="7" t="s">
        <v>1</v>
      </c>
      <c r="B5" s="8"/>
      <c r="C5" s="9"/>
    </row>
    <row r="6" spans="1:3" ht="34" x14ac:dyDescent="0.6">
      <c r="A6" s="10" t="s">
        <v>2</v>
      </c>
      <c r="B6" s="10" t="s">
        <v>3</v>
      </c>
      <c r="C6" s="11" t="s">
        <v>4</v>
      </c>
    </row>
    <row r="7" spans="1:3" x14ac:dyDescent="0.6">
      <c r="A7" s="12">
        <v>1</v>
      </c>
      <c r="B7" s="13" t="s">
        <v>6</v>
      </c>
      <c r="C7" s="14"/>
    </row>
    <row r="8" spans="1:3" x14ac:dyDescent="0.6">
      <c r="A8" s="12" t="s">
        <v>5</v>
      </c>
      <c r="B8" s="13" t="s">
        <v>7</v>
      </c>
      <c r="C8" s="15">
        <v>0</v>
      </c>
    </row>
    <row r="9" spans="1:3" x14ac:dyDescent="0.6">
      <c r="A9" s="12"/>
      <c r="B9" s="16" t="s">
        <v>8</v>
      </c>
      <c r="C9" s="17">
        <f>SUM(C8)</f>
        <v>0</v>
      </c>
    </row>
    <row r="10" spans="1:3" x14ac:dyDescent="0.6">
      <c r="A10" s="12"/>
      <c r="B10" s="13"/>
      <c r="C10" s="14"/>
    </row>
    <row r="11" spans="1:3" x14ac:dyDescent="0.6">
      <c r="A11" s="12">
        <v>2</v>
      </c>
      <c r="B11" s="13" t="s">
        <v>157</v>
      </c>
      <c r="C11" s="15">
        <v>0</v>
      </c>
    </row>
    <row r="12" spans="1:3" x14ac:dyDescent="0.6">
      <c r="A12" s="12" t="s">
        <v>5</v>
      </c>
      <c r="B12" s="16" t="s">
        <v>8</v>
      </c>
      <c r="C12" s="17">
        <f>C11</f>
        <v>0</v>
      </c>
    </row>
    <row r="13" spans="1:3" x14ac:dyDescent="0.6">
      <c r="A13" s="12"/>
      <c r="B13" s="13"/>
      <c r="C13" s="14"/>
    </row>
    <row r="14" spans="1:3" x14ac:dyDescent="0.6">
      <c r="A14" s="12">
        <v>3</v>
      </c>
      <c r="B14" s="13" t="s">
        <v>9</v>
      </c>
      <c r="C14" s="14"/>
    </row>
    <row r="15" spans="1:3" x14ac:dyDescent="0.6">
      <c r="A15" s="12" t="s">
        <v>5</v>
      </c>
      <c r="B15" s="13" t="s">
        <v>9</v>
      </c>
      <c r="C15" s="15">
        <f>(4000*400)/100000</f>
        <v>16</v>
      </c>
    </row>
    <row r="16" spans="1:3" x14ac:dyDescent="0.6">
      <c r="A16" s="12"/>
      <c r="B16" s="16" t="s">
        <v>8</v>
      </c>
      <c r="C16" s="18">
        <f>C15</f>
        <v>16</v>
      </c>
    </row>
    <row r="17" spans="1:3" x14ac:dyDescent="0.6">
      <c r="A17" s="12"/>
      <c r="B17" s="13"/>
      <c r="C17" s="14"/>
    </row>
    <row r="18" spans="1:3" x14ac:dyDescent="0.6">
      <c r="A18" s="12">
        <v>4</v>
      </c>
      <c r="B18" s="13" t="s">
        <v>10</v>
      </c>
      <c r="C18" s="14"/>
    </row>
    <row r="19" spans="1:3" x14ac:dyDescent="0.6">
      <c r="A19" s="12" t="s">
        <v>5</v>
      </c>
      <c r="B19" s="13" t="s">
        <v>11</v>
      </c>
      <c r="C19" s="19">
        <f>'Ann 3'!E17/100000</f>
        <v>16.05</v>
      </c>
    </row>
    <row r="20" spans="1:3" x14ac:dyDescent="0.6">
      <c r="A20" s="12"/>
      <c r="B20" s="16" t="s">
        <v>8</v>
      </c>
      <c r="C20" s="20">
        <f>C19</f>
        <v>16.05</v>
      </c>
    </row>
    <row r="21" spans="1:3" x14ac:dyDescent="0.6">
      <c r="A21" s="12"/>
      <c r="B21" s="13"/>
      <c r="C21" s="14"/>
    </row>
    <row r="22" spans="1:3" x14ac:dyDescent="0.6">
      <c r="A22" s="12">
        <v>5</v>
      </c>
      <c r="B22" s="13" t="s">
        <v>12</v>
      </c>
      <c r="C22" s="14"/>
    </row>
    <row r="23" spans="1:3" x14ac:dyDescent="0.6">
      <c r="A23" s="12" t="s">
        <v>5</v>
      </c>
      <c r="B23" s="13" t="s">
        <v>13</v>
      </c>
      <c r="C23" s="15">
        <v>0</v>
      </c>
    </row>
    <row r="24" spans="1:3" x14ac:dyDescent="0.6">
      <c r="A24" s="12"/>
      <c r="B24" s="13"/>
      <c r="C24" s="15"/>
    </row>
    <row r="25" spans="1:3" x14ac:dyDescent="0.6">
      <c r="A25" s="12">
        <v>6</v>
      </c>
      <c r="B25" s="13" t="s">
        <v>14</v>
      </c>
      <c r="C25" s="15">
        <v>5.35</v>
      </c>
    </row>
    <row r="26" spans="1:3" x14ac:dyDescent="0.6">
      <c r="A26" s="12"/>
      <c r="B26" s="13"/>
      <c r="C26" s="15"/>
    </row>
    <row r="27" spans="1:3" x14ac:dyDescent="0.6">
      <c r="A27" s="12">
        <v>7</v>
      </c>
      <c r="B27" s="13" t="s">
        <v>15</v>
      </c>
      <c r="C27" s="15">
        <v>0</v>
      </c>
    </row>
    <row r="28" spans="1:3" x14ac:dyDescent="0.6">
      <c r="A28" s="12" t="s">
        <v>5</v>
      </c>
      <c r="B28" s="13" t="s">
        <v>16</v>
      </c>
      <c r="C28" s="15">
        <v>0</v>
      </c>
    </row>
    <row r="29" spans="1:3" x14ac:dyDescent="0.6">
      <c r="A29" s="12"/>
      <c r="B29" s="16" t="s">
        <v>8</v>
      </c>
      <c r="C29" s="17">
        <f>SUM(C27:C28)</f>
        <v>0</v>
      </c>
    </row>
    <row r="30" spans="1:3" x14ac:dyDescent="0.6">
      <c r="A30" s="12"/>
      <c r="B30" s="13"/>
      <c r="C30" s="15"/>
    </row>
    <row r="31" spans="1:3" x14ac:dyDescent="0.6">
      <c r="A31" s="12">
        <v>8</v>
      </c>
      <c r="B31" s="13" t="s">
        <v>17</v>
      </c>
      <c r="C31" s="14"/>
    </row>
    <row r="32" spans="1:3" ht="34" x14ac:dyDescent="0.6">
      <c r="A32" s="12"/>
      <c r="B32" s="21" t="s">
        <v>18</v>
      </c>
      <c r="C32" s="14"/>
    </row>
    <row r="33" spans="1:3" x14ac:dyDescent="0.6">
      <c r="A33" s="12" t="s">
        <v>5</v>
      </c>
      <c r="B33" s="13" t="s">
        <v>19</v>
      </c>
      <c r="C33" s="15"/>
    </row>
    <row r="34" spans="1:3" x14ac:dyDescent="0.6">
      <c r="A34" s="12" t="s">
        <v>20</v>
      </c>
      <c r="B34" s="13" t="s">
        <v>21</v>
      </c>
      <c r="C34" s="15">
        <v>0.6</v>
      </c>
    </row>
    <row r="35" spans="1:3" x14ac:dyDescent="0.6">
      <c r="A35" s="12"/>
      <c r="B35" s="16" t="s">
        <v>8</v>
      </c>
      <c r="C35" s="17">
        <f>C34</f>
        <v>0.6</v>
      </c>
    </row>
    <row r="36" spans="1:3" x14ac:dyDescent="0.6">
      <c r="A36" s="12"/>
      <c r="B36" s="13"/>
      <c r="C36" s="15"/>
    </row>
    <row r="37" spans="1:3" s="5" customFormat="1" x14ac:dyDescent="0.6">
      <c r="A37" s="22"/>
      <c r="B37" s="23" t="s">
        <v>22</v>
      </c>
      <c r="C37" s="24">
        <f>C35+C29+C25+C20+C16+C23+C12+C9</f>
        <v>38</v>
      </c>
    </row>
    <row r="38" spans="1:3" x14ac:dyDescent="0.6">
      <c r="A38" s="25"/>
    </row>
    <row r="39" spans="1:3" x14ac:dyDescent="0.6">
      <c r="A39" s="25"/>
    </row>
    <row r="40" spans="1:3" x14ac:dyDescent="0.6">
      <c r="A40"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B7" sqref="B7"/>
    </sheetView>
  </sheetViews>
  <sheetFormatPr defaultRowHeight="17" x14ac:dyDescent="0.6"/>
  <cols>
    <col min="1" max="1" width="6.36328125" style="6" bestFit="1" customWidth="1"/>
    <col min="2" max="2" width="22.08984375" style="6" customWidth="1"/>
    <col min="3" max="3" width="18.81640625" style="6" bestFit="1" customWidth="1"/>
    <col min="4" max="16384" width="8.7265625" style="6"/>
  </cols>
  <sheetData>
    <row r="1" spans="1:4" x14ac:dyDescent="0.6">
      <c r="A1" s="5" t="s">
        <v>23</v>
      </c>
    </row>
    <row r="3" spans="1:4" s="5" customFormat="1" x14ac:dyDescent="0.6">
      <c r="A3" s="130" t="s">
        <v>24</v>
      </c>
      <c r="B3" s="131" t="s">
        <v>25</v>
      </c>
      <c r="C3" s="132" t="s">
        <v>4</v>
      </c>
    </row>
    <row r="4" spans="1:4" x14ac:dyDescent="0.6">
      <c r="A4" s="26">
        <v>1</v>
      </c>
      <c r="B4" s="27" t="s">
        <v>26</v>
      </c>
      <c r="C4" s="134">
        <f>C8*10%</f>
        <v>3.8000000000000003</v>
      </c>
      <c r="D4" s="29"/>
    </row>
    <row r="5" spans="1:4" x14ac:dyDescent="0.6">
      <c r="A5" s="26">
        <v>2</v>
      </c>
      <c r="B5" s="27" t="s">
        <v>27</v>
      </c>
      <c r="C5" s="28">
        <v>0</v>
      </c>
      <c r="D5" s="30"/>
    </row>
    <row r="6" spans="1:4" x14ac:dyDescent="0.6">
      <c r="A6" s="26">
        <v>3</v>
      </c>
      <c r="B6" s="27" t="s">
        <v>28</v>
      </c>
      <c r="C6" s="19">
        <f>C8-C4-C7</f>
        <v>28.85</v>
      </c>
      <c r="D6" s="29"/>
    </row>
    <row r="7" spans="1:4" x14ac:dyDescent="0.6">
      <c r="A7" s="26">
        <v>4</v>
      </c>
      <c r="B7" s="27" t="s">
        <v>29</v>
      </c>
      <c r="C7" s="19">
        <f>'Ann 1'!C25</f>
        <v>5.35</v>
      </c>
      <c r="D7" s="29"/>
    </row>
    <row r="8" spans="1:4" s="5" customFormat="1" x14ac:dyDescent="0.6">
      <c r="A8" s="50"/>
      <c r="B8" s="51" t="s">
        <v>8</v>
      </c>
      <c r="C8" s="129">
        <f>'Ann 1'!C37</f>
        <v>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F22"/>
  <sheetViews>
    <sheetView topLeftCell="A4" workbookViewId="0">
      <selection activeCell="E20" sqref="E20"/>
    </sheetView>
  </sheetViews>
  <sheetFormatPr defaultRowHeight="17" x14ac:dyDescent="0.6"/>
  <cols>
    <col min="1" max="1" width="2.81640625" style="6" bestFit="1" customWidth="1"/>
    <col min="2" max="2" width="90.1796875" style="6" bestFit="1" customWidth="1"/>
    <col min="3" max="3" width="8.7265625" style="6"/>
    <col min="4" max="4" width="17.90625" style="6" bestFit="1" customWidth="1"/>
    <col min="5" max="5" width="12.1796875" style="6" bestFit="1" customWidth="1"/>
    <col min="6" max="6" width="8.7265625" style="6"/>
    <col min="7" max="7" width="9.1796875" style="6" bestFit="1" customWidth="1"/>
    <col min="8" max="16384" width="8.7265625" style="6"/>
  </cols>
  <sheetData>
    <row r="1" spans="1:5" x14ac:dyDescent="0.6">
      <c r="A1" s="5" t="s">
        <v>30</v>
      </c>
    </row>
    <row r="3" spans="1:5" x14ac:dyDescent="0.6">
      <c r="A3" s="33" t="s">
        <v>232</v>
      </c>
      <c r="B3" s="8"/>
      <c r="C3" s="8" t="s">
        <v>31</v>
      </c>
      <c r="D3" s="8"/>
      <c r="E3" s="9" t="s">
        <v>32</v>
      </c>
    </row>
    <row r="4" spans="1:5" x14ac:dyDescent="0.6">
      <c r="A4" s="37">
        <v>1</v>
      </c>
      <c r="B4" s="38" t="s">
        <v>241</v>
      </c>
      <c r="C4" s="39">
        <v>1</v>
      </c>
      <c r="D4" s="40"/>
      <c r="E4" s="41">
        <f>'Ann 1'!C15*100000</f>
        <v>1600000</v>
      </c>
    </row>
    <row r="5" spans="1:5" x14ac:dyDescent="0.6">
      <c r="A5" s="42" t="s">
        <v>233</v>
      </c>
      <c r="B5" s="43"/>
      <c r="C5" s="43"/>
      <c r="D5" s="43"/>
      <c r="E5" s="44">
        <f>SUM(E4:E4)</f>
        <v>1600000</v>
      </c>
    </row>
    <row r="6" spans="1:5" x14ac:dyDescent="0.6">
      <c r="A6" s="31"/>
      <c r="B6" s="32"/>
      <c r="C6" s="32"/>
      <c r="D6" s="32"/>
      <c r="E6" s="45"/>
    </row>
    <row r="7" spans="1:5" x14ac:dyDescent="0.6">
      <c r="A7" s="33" t="s">
        <v>300</v>
      </c>
      <c r="B7" s="8"/>
      <c r="C7" s="8" t="s">
        <v>31</v>
      </c>
      <c r="D7" s="8" t="s">
        <v>308</v>
      </c>
      <c r="E7" s="9" t="s">
        <v>32</v>
      </c>
    </row>
    <row r="8" spans="1:5" x14ac:dyDescent="0.6">
      <c r="A8" s="6">
        <v>1</v>
      </c>
      <c r="B8" s="25" t="s">
        <v>307</v>
      </c>
      <c r="C8" s="39">
        <v>2</v>
      </c>
      <c r="D8" s="40" t="s">
        <v>315</v>
      </c>
      <c r="E8" s="49">
        <f>335000*C8</f>
        <v>670000</v>
      </c>
    </row>
    <row r="9" spans="1:5" x14ac:dyDescent="0.6">
      <c r="A9" s="6">
        <v>2</v>
      </c>
      <c r="B9" s="25" t="s">
        <v>309</v>
      </c>
      <c r="C9" s="46">
        <v>1</v>
      </c>
      <c r="D9" s="47"/>
      <c r="E9" s="48">
        <v>25000</v>
      </c>
    </row>
    <row r="10" spans="1:5" x14ac:dyDescent="0.6">
      <c r="A10" s="6">
        <v>3</v>
      </c>
      <c r="B10" s="25" t="s">
        <v>310</v>
      </c>
      <c r="C10" s="46">
        <v>1</v>
      </c>
      <c r="D10" s="47"/>
      <c r="E10" s="49">
        <v>250000</v>
      </c>
    </row>
    <row r="11" spans="1:5" x14ac:dyDescent="0.6">
      <c r="A11" s="6">
        <v>4</v>
      </c>
      <c r="B11" s="25" t="s">
        <v>311</v>
      </c>
      <c r="C11" s="46">
        <v>1</v>
      </c>
      <c r="D11" s="47"/>
      <c r="E11" s="49">
        <v>125000</v>
      </c>
    </row>
    <row r="12" spans="1:5" x14ac:dyDescent="0.6">
      <c r="A12" s="6">
        <v>5</v>
      </c>
      <c r="B12" s="25" t="s">
        <v>298</v>
      </c>
      <c r="C12" s="46">
        <v>1</v>
      </c>
      <c r="D12" s="47" t="s">
        <v>312</v>
      </c>
      <c r="E12" s="49">
        <v>65000</v>
      </c>
    </row>
    <row r="13" spans="1:5" x14ac:dyDescent="0.6">
      <c r="A13" s="6">
        <v>6</v>
      </c>
      <c r="B13" s="25" t="s">
        <v>314</v>
      </c>
      <c r="C13" s="46">
        <v>1</v>
      </c>
      <c r="D13" s="47"/>
      <c r="E13" s="49">
        <v>100000</v>
      </c>
    </row>
    <row r="14" spans="1:5" x14ac:dyDescent="0.6">
      <c r="A14" s="6">
        <v>7</v>
      </c>
      <c r="B14" s="25" t="s">
        <v>316</v>
      </c>
      <c r="C14" s="46">
        <v>1</v>
      </c>
      <c r="D14" s="47"/>
      <c r="E14" s="49">
        <v>20000</v>
      </c>
    </row>
    <row r="15" spans="1:5" x14ac:dyDescent="0.6">
      <c r="A15" s="6">
        <v>8</v>
      </c>
      <c r="B15" s="25" t="s">
        <v>317</v>
      </c>
      <c r="C15" s="46">
        <v>1</v>
      </c>
      <c r="D15" s="47"/>
      <c r="E15" s="49">
        <v>150000</v>
      </c>
    </row>
    <row r="16" spans="1:5" x14ac:dyDescent="0.6">
      <c r="A16" s="6">
        <v>9</v>
      </c>
      <c r="B16" s="25" t="s">
        <v>318</v>
      </c>
      <c r="C16" s="46">
        <v>1</v>
      </c>
      <c r="D16" s="47"/>
      <c r="E16" s="49">
        <v>200000</v>
      </c>
    </row>
    <row r="17" spans="1:6" s="5" customFormat="1" x14ac:dyDescent="0.6">
      <c r="A17" s="50" t="s">
        <v>33</v>
      </c>
      <c r="B17" s="51"/>
      <c r="C17" s="51"/>
      <c r="D17" s="51"/>
      <c r="E17" s="52">
        <f>SUM(E8:E16)</f>
        <v>1605000</v>
      </c>
      <c r="F17" s="53"/>
    </row>
    <row r="18" spans="1:6" x14ac:dyDescent="0.6">
      <c r="A18" s="26"/>
      <c r="B18" s="27"/>
      <c r="C18" s="27"/>
      <c r="D18" s="27"/>
      <c r="E18" s="14"/>
    </row>
    <row r="19" spans="1:6" x14ac:dyDescent="0.6">
      <c r="A19" s="26"/>
      <c r="B19" s="27"/>
      <c r="C19" s="27"/>
      <c r="D19" s="27"/>
      <c r="E19" s="14"/>
    </row>
    <row r="20" spans="1:6" s="5" customFormat="1" x14ac:dyDescent="0.6">
      <c r="A20" s="50" t="s">
        <v>34</v>
      </c>
      <c r="B20" s="51"/>
      <c r="C20" s="51"/>
      <c r="D20" s="51"/>
      <c r="E20" s="52">
        <f>E17+E5</f>
        <v>3205000</v>
      </c>
    </row>
    <row r="21" spans="1:6" x14ac:dyDescent="0.6">
      <c r="E21" s="54"/>
    </row>
    <row r="22" spans="1:6" x14ac:dyDescent="0.6">
      <c r="A22" s="6" t="s">
        <v>301</v>
      </c>
      <c r="E22" s="55"/>
    </row>
  </sheetData>
  <pageMargins left="0.7" right="0.7" top="0.75" bottom="0.75" header="0.3" footer="0.3"/>
  <pageSetup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6"/>
  <sheetViews>
    <sheetView workbookViewId="0">
      <selection activeCell="C11" sqref="C11"/>
    </sheetView>
  </sheetViews>
  <sheetFormatPr defaultRowHeight="17" x14ac:dyDescent="0.6"/>
  <cols>
    <col min="1" max="1" width="8.7265625" style="6"/>
    <col min="2" max="2" width="55.7265625" style="6" bestFit="1" customWidth="1"/>
    <col min="3" max="3" width="19.08984375" style="6" bestFit="1" customWidth="1"/>
    <col min="4" max="11" width="15.6328125" style="6" bestFit="1" customWidth="1"/>
    <col min="12" max="16384" width="8.7265625" style="6"/>
  </cols>
  <sheetData>
    <row r="1" spans="1:11" x14ac:dyDescent="0.6">
      <c r="A1" s="5" t="s">
        <v>35</v>
      </c>
    </row>
    <row r="3" spans="1:11" x14ac:dyDescent="0.6">
      <c r="A3" s="138" t="s">
        <v>36</v>
      </c>
      <c r="B3" s="136" t="s">
        <v>37</v>
      </c>
      <c r="C3" s="135" t="s">
        <v>47</v>
      </c>
      <c r="D3" s="135"/>
      <c r="E3" s="135"/>
      <c r="F3" s="135"/>
      <c r="G3" s="135"/>
      <c r="H3" s="135"/>
      <c r="I3" s="135"/>
      <c r="J3" s="135"/>
      <c r="K3" s="135"/>
    </row>
    <row r="4" spans="1:11" x14ac:dyDescent="0.6">
      <c r="A4" s="139"/>
      <c r="B4" s="137"/>
      <c r="C4" s="60" t="s">
        <v>38</v>
      </c>
      <c r="D4" s="60" t="s">
        <v>39</v>
      </c>
      <c r="E4" s="60" t="s">
        <v>40</v>
      </c>
      <c r="F4" s="60" t="s">
        <v>41</v>
      </c>
      <c r="G4" s="60" t="s">
        <v>42</v>
      </c>
      <c r="H4" s="60" t="s">
        <v>43</v>
      </c>
      <c r="I4" s="60" t="s">
        <v>44</v>
      </c>
      <c r="J4" s="60" t="s">
        <v>45</v>
      </c>
      <c r="K4" s="60" t="s">
        <v>46</v>
      </c>
    </row>
    <row r="5" spans="1:11" x14ac:dyDescent="0.6">
      <c r="A5" s="34"/>
      <c r="B5" s="34" t="s">
        <v>48</v>
      </c>
      <c r="C5" s="34">
        <v>12</v>
      </c>
      <c r="D5" s="34">
        <v>12</v>
      </c>
      <c r="E5" s="34">
        <v>12</v>
      </c>
      <c r="F5" s="34">
        <v>12</v>
      </c>
      <c r="G5" s="34">
        <v>12</v>
      </c>
      <c r="H5" s="34">
        <v>12</v>
      </c>
      <c r="I5" s="34">
        <v>12</v>
      </c>
      <c r="J5" s="34">
        <v>12</v>
      </c>
      <c r="K5" s="34">
        <v>12</v>
      </c>
    </row>
    <row r="6" spans="1:11" x14ac:dyDescent="0.6">
      <c r="A6" s="34"/>
      <c r="B6" s="34"/>
      <c r="C6" s="34"/>
      <c r="D6" s="34"/>
      <c r="E6" s="34"/>
      <c r="F6" s="34"/>
      <c r="G6" s="34"/>
      <c r="H6" s="34"/>
      <c r="I6" s="34"/>
      <c r="J6" s="34"/>
      <c r="K6" s="34"/>
    </row>
    <row r="7" spans="1:11" x14ac:dyDescent="0.6">
      <c r="A7" s="34"/>
      <c r="B7" s="34" t="s">
        <v>313</v>
      </c>
      <c r="C7" s="56">
        <f>Budgets!B6*Budgets!$D$16*1.05</f>
        <v>36936000</v>
      </c>
      <c r="D7" s="56">
        <f>Budgets!C6*Budgets!$D$16*1.1*1.05</f>
        <v>44015400.000000007</v>
      </c>
      <c r="E7" s="56">
        <f>Budgets!D6*Budgets!$D$16*1.1*1.05</f>
        <v>47401200</v>
      </c>
      <c r="F7" s="56">
        <f>Budgets!E6*Budgets!$D$16*1.1*1.05</f>
        <v>50787000</v>
      </c>
      <c r="G7" s="56">
        <f>Budgets!F6*Budgets!$D$16*1.1*1.05</f>
        <v>54172800</v>
      </c>
      <c r="H7" s="56">
        <f>Budgets!G6*Budgets!$D$16*1.1*1.05</f>
        <v>57558600</v>
      </c>
      <c r="I7" s="56">
        <f>Budgets!H6*Budgets!$D$16*1.1*1.05</f>
        <v>60944400.000000015</v>
      </c>
      <c r="J7" s="56">
        <f>Budgets!I6*Budgets!$D$16*1.1*1.05</f>
        <v>64330200.000000007</v>
      </c>
      <c r="K7" s="56">
        <f>Budgets!J6*Budgets!$D$16*1.1*1.05</f>
        <v>67716000.000000015</v>
      </c>
    </row>
    <row r="8" spans="1:11" x14ac:dyDescent="0.6">
      <c r="A8" s="34"/>
      <c r="B8" s="34" t="s">
        <v>162</v>
      </c>
      <c r="C8" s="56">
        <f>150000+C43</f>
        <v>1270000</v>
      </c>
      <c r="D8" s="56">
        <f t="shared" ref="D8:K8" si="0">150000+D43</f>
        <v>1326000</v>
      </c>
      <c r="E8" s="56">
        <f t="shared" si="0"/>
        <v>1384800</v>
      </c>
      <c r="F8" s="56">
        <f t="shared" si="0"/>
        <v>1446540</v>
      </c>
      <c r="G8" s="56">
        <f t="shared" si="0"/>
        <v>1511367</v>
      </c>
      <c r="H8" s="56">
        <f t="shared" si="0"/>
        <v>1579435.35</v>
      </c>
      <c r="I8" s="56">
        <f t="shared" si="0"/>
        <v>1650907.1175000002</v>
      </c>
      <c r="J8" s="56">
        <f t="shared" si="0"/>
        <v>1725952.4733750001</v>
      </c>
      <c r="K8" s="56">
        <f t="shared" si="0"/>
        <v>1804750.0970437503</v>
      </c>
    </row>
    <row r="9" spans="1:11" x14ac:dyDescent="0.6">
      <c r="A9" s="34"/>
      <c r="B9" s="34" t="s">
        <v>245</v>
      </c>
      <c r="C9" s="56">
        <f>2%*'Ann 3'!E20</f>
        <v>64100</v>
      </c>
      <c r="D9" s="56">
        <f>C9*1.05</f>
        <v>67305</v>
      </c>
      <c r="E9" s="56">
        <f t="shared" ref="E9:K9" si="1">D9*1.05</f>
        <v>70670.25</v>
      </c>
      <c r="F9" s="56">
        <f t="shared" si="1"/>
        <v>74203.762499999997</v>
      </c>
      <c r="G9" s="56">
        <f t="shared" si="1"/>
        <v>77913.950624999998</v>
      </c>
      <c r="H9" s="56">
        <f t="shared" si="1"/>
        <v>81809.648156249998</v>
      </c>
      <c r="I9" s="56">
        <f t="shared" si="1"/>
        <v>85900.130564062507</v>
      </c>
      <c r="J9" s="56">
        <f t="shared" si="1"/>
        <v>90195.137092265635</v>
      </c>
      <c r="K9" s="56">
        <f t="shared" si="1"/>
        <v>94704.893946878918</v>
      </c>
    </row>
    <row r="10" spans="1:11" x14ac:dyDescent="0.6">
      <c r="A10" s="34"/>
      <c r="B10" s="34" t="s">
        <v>304</v>
      </c>
      <c r="C10" s="56">
        <f>C7*15%</f>
        <v>5540400</v>
      </c>
      <c r="D10" s="56">
        <f t="shared" ref="D10:K10" si="2">D7*15%</f>
        <v>6602310.0000000009</v>
      </c>
      <c r="E10" s="56">
        <f t="shared" si="2"/>
        <v>7110180</v>
      </c>
      <c r="F10" s="56">
        <f t="shared" si="2"/>
        <v>7618050</v>
      </c>
      <c r="G10" s="56">
        <f t="shared" si="2"/>
        <v>8125920</v>
      </c>
      <c r="H10" s="56">
        <f t="shared" si="2"/>
        <v>8633790</v>
      </c>
      <c r="I10" s="56">
        <f t="shared" si="2"/>
        <v>9141660.0000000019</v>
      </c>
      <c r="J10" s="56">
        <f t="shared" si="2"/>
        <v>9649530</v>
      </c>
      <c r="K10" s="56">
        <f t="shared" si="2"/>
        <v>10157400.000000002</v>
      </c>
    </row>
    <row r="11" spans="1:11" x14ac:dyDescent="0.6">
      <c r="A11" s="34"/>
      <c r="B11" s="34" t="s">
        <v>164</v>
      </c>
      <c r="C11" s="56">
        <f>SUM(C7:C10)</f>
        <v>43810500</v>
      </c>
      <c r="D11" s="56">
        <f t="shared" ref="D11:K11" si="3">SUM(D7:D10)</f>
        <v>52011015.000000007</v>
      </c>
      <c r="E11" s="56">
        <f t="shared" si="3"/>
        <v>55966850.25</v>
      </c>
      <c r="F11" s="56">
        <f t="shared" si="3"/>
        <v>59925793.762500003</v>
      </c>
      <c r="G11" s="56">
        <f t="shared" si="3"/>
        <v>63888000.950625002</v>
      </c>
      <c r="H11" s="56">
        <f t="shared" si="3"/>
        <v>67853634.99815625</v>
      </c>
      <c r="I11" s="56">
        <f t="shared" si="3"/>
        <v>71822867.248064086</v>
      </c>
      <c r="J11" s="56">
        <f t="shared" si="3"/>
        <v>75795877.61046727</v>
      </c>
      <c r="K11" s="56">
        <f t="shared" si="3"/>
        <v>79772854.990990654</v>
      </c>
    </row>
    <row r="12" spans="1:11" x14ac:dyDescent="0.6">
      <c r="A12" s="34"/>
      <c r="B12" s="34" t="s">
        <v>247</v>
      </c>
      <c r="C12" s="56">
        <v>0</v>
      </c>
      <c r="D12" s="56">
        <f>C13</f>
        <v>469800</v>
      </c>
      <c r="E12" s="56">
        <f t="shared" ref="E12:K12" si="4">D13</f>
        <v>978750</v>
      </c>
      <c r="F12" s="56">
        <f t="shared" si="4"/>
        <v>1526850</v>
      </c>
      <c r="G12" s="56">
        <f t="shared" si="4"/>
        <v>2114100</v>
      </c>
      <c r="H12" s="56">
        <f t="shared" si="4"/>
        <v>2740500</v>
      </c>
      <c r="I12" s="56">
        <f t="shared" si="4"/>
        <v>2074950</v>
      </c>
      <c r="J12" s="56">
        <f t="shared" si="4"/>
        <v>1370250</v>
      </c>
      <c r="K12" s="56">
        <f t="shared" si="4"/>
        <v>626400</v>
      </c>
    </row>
    <row r="13" spans="1:11" x14ac:dyDescent="0.6">
      <c r="A13" s="34"/>
      <c r="B13" s="34" t="s">
        <v>248</v>
      </c>
      <c r="C13" s="56">
        <f>Budgets!B24*145</f>
        <v>469800</v>
      </c>
      <c r="D13" s="56">
        <f>Budgets!C24*145</f>
        <v>978750</v>
      </c>
      <c r="E13" s="56">
        <f>Budgets!D24*145</f>
        <v>1526850</v>
      </c>
      <c r="F13" s="56">
        <f>Budgets!E24*145</f>
        <v>2114100</v>
      </c>
      <c r="G13" s="56">
        <f>Budgets!F24*145</f>
        <v>2740500</v>
      </c>
      <c r="H13" s="56">
        <f>Budgets!G24*145</f>
        <v>2074950</v>
      </c>
      <c r="I13" s="56">
        <f>Budgets!H24*145</f>
        <v>1370250</v>
      </c>
      <c r="J13" s="56">
        <f>Budgets!I24*145</f>
        <v>626400</v>
      </c>
      <c r="K13" s="56">
        <f>Budgets!J24*145</f>
        <v>0</v>
      </c>
    </row>
    <row r="14" spans="1:11" x14ac:dyDescent="0.6">
      <c r="A14" s="34"/>
      <c r="B14" s="34" t="s">
        <v>165</v>
      </c>
      <c r="C14" s="56">
        <f>C11+C12-C13</f>
        <v>43340700</v>
      </c>
      <c r="D14" s="56">
        <f t="shared" ref="D14:K14" si="5">D11+D12-D13</f>
        <v>51502065.000000007</v>
      </c>
      <c r="E14" s="56">
        <f t="shared" si="5"/>
        <v>55418750.25</v>
      </c>
      <c r="F14" s="56">
        <f t="shared" si="5"/>
        <v>59338543.762500003</v>
      </c>
      <c r="G14" s="56">
        <f t="shared" si="5"/>
        <v>63261600.950625002</v>
      </c>
      <c r="H14" s="56">
        <f t="shared" si="5"/>
        <v>68519184.99815625</v>
      </c>
      <c r="I14" s="56">
        <f t="shared" si="5"/>
        <v>72527567.248064086</v>
      </c>
      <c r="J14" s="56">
        <f t="shared" si="5"/>
        <v>76539727.61046727</v>
      </c>
      <c r="K14" s="56">
        <f t="shared" si="5"/>
        <v>80399254.990990654</v>
      </c>
    </row>
    <row r="15" spans="1:11" x14ac:dyDescent="0.6">
      <c r="A15" s="34"/>
      <c r="B15" s="34"/>
      <c r="C15" s="56"/>
      <c r="D15" s="56"/>
      <c r="E15" s="56"/>
      <c r="F15" s="56"/>
      <c r="G15" s="56"/>
      <c r="H15" s="56"/>
      <c r="I15" s="56"/>
      <c r="J15" s="56"/>
      <c r="K15" s="56"/>
    </row>
    <row r="16" spans="1:11" x14ac:dyDescent="0.6">
      <c r="A16" s="34"/>
      <c r="B16" s="34" t="s">
        <v>50</v>
      </c>
      <c r="C16" s="56">
        <f>'Ann 8'!E14</f>
        <v>2277600</v>
      </c>
      <c r="D16" s="56">
        <f>1.07*C16</f>
        <v>2437032</v>
      </c>
      <c r="E16" s="56">
        <f t="shared" ref="E16:K16" si="6">1.07*D16</f>
        <v>2607624.2400000002</v>
      </c>
      <c r="F16" s="56">
        <f t="shared" si="6"/>
        <v>2790157.9368000003</v>
      </c>
      <c r="G16" s="56">
        <f t="shared" si="6"/>
        <v>2985468.9923760006</v>
      </c>
      <c r="H16" s="56">
        <f t="shared" si="6"/>
        <v>3194451.8218423207</v>
      </c>
      <c r="I16" s="56">
        <f t="shared" si="6"/>
        <v>3418063.4493712834</v>
      </c>
      <c r="J16" s="56">
        <f t="shared" si="6"/>
        <v>3657327.8908272735</v>
      </c>
      <c r="K16" s="56">
        <f t="shared" si="6"/>
        <v>3913340.8431851827</v>
      </c>
    </row>
    <row r="17" spans="1:11" x14ac:dyDescent="0.6">
      <c r="A17" s="34"/>
      <c r="B17" s="34" t="s">
        <v>305</v>
      </c>
      <c r="C17" s="56">
        <f>Budgets!B7*1.5</f>
        <v>481140</v>
      </c>
      <c r="D17" s="56">
        <f>Budgets!C7*1.5</f>
        <v>521235</v>
      </c>
      <c r="E17" s="56">
        <f>Budgets!D7*1.5</f>
        <v>561330</v>
      </c>
      <c r="F17" s="56">
        <f>Budgets!E7*1.5</f>
        <v>601425</v>
      </c>
      <c r="G17" s="56">
        <f>Budgets!F7*1.5</f>
        <v>641520</v>
      </c>
      <c r="H17" s="56">
        <f>Budgets!G7*1.5</f>
        <v>695385</v>
      </c>
      <c r="I17" s="56">
        <f>Budgets!H7*1.5</f>
        <v>736290</v>
      </c>
      <c r="J17" s="56">
        <f>Budgets!I7*1.5</f>
        <v>777195</v>
      </c>
      <c r="K17" s="56">
        <f>Budgets!J7*1.5</f>
        <v>816480</v>
      </c>
    </row>
    <row r="18" spans="1:11" x14ac:dyDescent="0.6">
      <c r="A18" s="34"/>
      <c r="B18" s="34" t="s">
        <v>306</v>
      </c>
      <c r="C18" s="56">
        <f>Budgets!B7*1</f>
        <v>320760</v>
      </c>
      <c r="D18" s="56">
        <f>Budgets!C7*1</f>
        <v>347490</v>
      </c>
      <c r="E18" s="56">
        <f>Budgets!D7*1</f>
        <v>374220</v>
      </c>
      <c r="F18" s="56">
        <f>Budgets!E7*1</f>
        <v>400950</v>
      </c>
      <c r="G18" s="56">
        <f>Budgets!F7*1</f>
        <v>427680</v>
      </c>
      <c r="H18" s="56">
        <f>Budgets!G7*1</f>
        <v>463590</v>
      </c>
      <c r="I18" s="56">
        <f>Budgets!H7*1</f>
        <v>490860</v>
      </c>
      <c r="J18" s="56">
        <f>Budgets!I7*1</f>
        <v>518130</v>
      </c>
      <c r="K18" s="56">
        <f>Budgets!J7*1</f>
        <v>544320</v>
      </c>
    </row>
    <row r="19" spans="1:11" x14ac:dyDescent="0.6">
      <c r="A19" s="34"/>
      <c r="B19" s="34" t="s">
        <v>268</v>
      </c>
      <c r="C19" s="56">
        <v>210000</v>
      </c>
      <c r="D19" s="56">
        <v>210000</v>
      </c>
      <c r="E19" s="56">
        <v>210000</v>
      </c>
      <c r="F19" s="56">
        <v>210000</v>
      </c>
      <c r="G19" s="56">
        <v>210000</v>
      </c>
      <c r="H19" s="56">
        <v>210000</v>
      </c>
      <c r="I19" s="56">
        <v>210000</v>
      </c>
      <c r="J19" s="56">
        <v>210000</v>
      </c>
      <c r="K19" s="56">
        <v>210000</v>
      </c>
    </row>
    <row r="20" spans="1:11" x14ac:dyDescent="0.6">
      <c r="A20" s="34"/>
      <c r="B20" s="34" t="s">
        <v>8</v>
      </c>
      <c r="C20" s="56">
        <f>SUM(C16:C19)</f>
        <v>3289500</v>
      </c>
      <c r="D20" s="56">
        <f t="shared" ref="D20:K20" si="7">SUM(D16:D19)</f>
        <v>3515757</v>
      </c>
      <c r="E20" s="56">
        <f t="shared" si="7"/>
        <v>3753174.24</v>
      </c>
      <c r="F20" s="56">
        <f t="shared" si="7"/>
        <v>4002532.9368000003</v>
      </c>
      <c r="G20" s="56">
        <f t="shared" si="7"/>
        <v>4264668.9923760006</v>
      </c>
      <c r="H20" s="56">
        <f t="shared" si="7"/>
        <v>4563426.8218423203</v>
      </c>
      <c r="I20" s="56">
        <f t="shared" si="7"/>
        <v>4855213.4493712839</v>
      </c>
      <c r="J20" s="56">
        <f t="shared" si="7"/>
        <v>5162652.8908272739</v>
      </c>
      <c r="K20" s="56">
        <f t="shared" si="7"/>
        <v>5484140.8431851827</v>
      </c>
    </row>
    <row r="21" spans="1:11" x14ac:dyDescent="0.6">
      <c r="A21" s="34"/>
      <c r="B21" s="34"/>
      <c r="C21" s="56"/>
      <c r="D21" s="56"/>
      <c r="E21" s="56"/>
      <c r="F21" s="56"/>
      <c r="G21" s="56"/>
      <c r="H21" s="56"/>
      <c r="I21" s="56"/>
      <c r="J21" s="56"/>
      <c r="K21" s="56"/>
    </row>
    <row r="22" spans="1:11" x14ac:dyDescent="0.6">
      <c r="A22" s="34"/>
      <c r="B22" s="34" t="s">
        <v>83</v>
      </c>
      <c r="C22" s="56">
        <f t="shared" ref="C22:K22" si="8">C20+C14</f>
        <v>46630200</v>
      </c>
      <c r="D22" s="56">
        <f t="shared" si="8"/>
        <v>55017822.000000007</v>
      </c>
      <c r="E22" s="56">
        <f t="shared" si="8"/>
        <v>59171924.490000002</v>
      </c>
      <c r="F22" s="56">
        <f t="shared" si="8"/>
        <v>63341076.699300006</v>
      </c>
      <c r="G22" s="56">
        <f t="shared" si="8"/>
        <v>67526269.943001002</v>
      </c>
      <c r="H22" s="56">
        <f t="shared" si="8"/>
        <v>73082611.819998562</v>
      </c>
      <c r="I22" s="56">
        <f t="shared" si="8"/>
        <v>77382780.697435364</v>
      </c>
      <c r="J22" s="56">
        <f t="shared" si="8"/>
        <v>81702380.501294538</v>
      </c>
      <c r="K22" s="56">
        <f t="shared" si="8"/>
        <v>85883395.83417584</v>
      </c>
    </row>
    <row r="23" spans="1:11" x14ac:dyDescent="0.6">
      <c r="A23" s="34"/>
      <c r="B23" s="34" t="s">
        <v>84</v>
      </c>
      <c r="C23" s="56">
        <f>Budgets!B8</f>
        <v>48114000</v>
      </c>
      <c r="D23" s="56">
        <f>Budgets!C8</f>
        <v>57335850.000000007</v>
      </c>
      <c r="E23" s="56">
        <f>Budgets!D8</f>
        <v>61746300.000000007</v>
      </c>
      <c r="F23" s="56">
        <f>Budgets!E8</f>
        <v>66156750.000000007</v>
      </c>
      <c r="G23" s="56">
        <f>Budgets!F8</f>
        <v>70567200</v>
      </c>
      <c r="H23" s="56">
        <f>Budgets!G8</f>
        <v>76492350</v>
      </c>
      <c r="I23" s="56">
        <f>Budgets!H8</f>
        <v>80991900</v>
      </c>
      <c r="J23" s="56">
        <f>Budgets!I8</f>
        <v>85491450</v>
      </c>
      <c r="K23" s="56">
        <f>Budgets!J8</f>
        <v>89812800</v>
      </c>
    </row>
    <row r="24" spans="1:11" x14ac:dyDescent="0.6">
      <c r="A24" s="34"/>
      <c r="B24" s="34" t="s">
        <v>85</v>
      </c>
      <c r="C24" s="56">
        <f>C23-C22</f>
        <v>1483800</v>
      </c>
      <c r="D24" s="56">
        <f t="shared" ref="D24:K24" si="9">D23-D22</f>
        <v>2318028</v>
      </c>
      <c r="E24" s="56">
        <f t="shared" si="9"/>
        <v>2574375.5100000054</v>
      </c>
      <c r="F24" s="56">
        <f t="shared" si="9"/>
        <v>2815673.3007000014</v>
      </c>
      <c r="G24" s="56">
        <f t="shared" si="9"/>
        <v>3040930.0569989979</v>
      </c>
      <c r="H24" s="56">
        <f t="shared" si="9"/>
        <v>3409738.1800014377</v>
      </c>
      <c r="I24" s="56">
        <f t="shared" si="9"/>
        <v>3609119.3025646359</v>
      </c>
      <c r="J24" s="56">
        <f t="shared" si="9"/>
        <v>3789069.4987054616</v>
      </c>
      <c r="K24" s="56">
        <f t="shared" si="9"/>
        <v>3929404.16582416</v>
      </c>
    </row>
    <row r="25" spans="1:11" x14ac:dyDescent="0.6">
      <c r="A25" s="34"/>
      <c r="B25" s="34"/>
      <c r="C25" s="56"/>
      <c r="D25" s="56"/>
      <c r="E25" s="56"/>
      <c r="F25" s="56"/>
      <c r="G25" s="56"/>
      <c r="H25" s="56"/>
      <c r="I25" s="56"/>
      <c r="J25" s="56"/>
      <c r="K25" s="56"/>
    </row>
    <row r="26" spans="1:11" x14ac:dyDescent="0.6">
      <c r="A26" s="34"/>
      <c r="B26" s="34" t="s">
        <v>86</v>
      </c>
      <c r="C26" s="56"/>
      <c r="D26" s="56"/>
      <c r="E26" s="56"/>
      <c r="F26" s="56"/>
      <c r="G26" s="56"/>
      <c r="H26" s="56"/>
      <c r="I26" s="56"/>
      <c r="J26" s="56"/>
      <c r="K26" s="56"/>
    </row>
    <row r="27" spans="1:11" x14ac:dyDescent="0.6">
      <c r="A27" s="34"/>
      <c r="B27" s="34" t="s">
        <v>87</v>
      </c>
      <c r="C27" s="56">
        <f>SUM('Ann 13'!E9:E12)*100000</f>
        <v>171435.57692307694</v>
      </c>
      <c r="D27" s="56">
        <f>SUM('Ann 13'!E13:E16)*100000</f>
        <v>149798.07692307691</v>
      </c>
      <c r="E27" s="56">
        <f>SUM('Ann 13'!E17:E20)*100000</f>
        <v>123167.30769230769</v>
      </c>
      <c r="F27" s="56">
        <f>SUM('Ann 13'!E21:E24)*100000</f>
        <v>96536.538461538454</v>
      </c>
      <c r="G27" s="56">
        <f>SUM('Ann 13'!E25:E28)*100000</f>
        <v>69905.769230769234</v>
      </c>
      <c r="H27" s="56">
        <f>SUM('Ann 13'!E29:E32)*100000</f>
        <v>43275</v>
      </c>
      <c r="I27" s="56">
        <f>SUM('Ann 13'!E33:E36)*100000</f>
        <v>16644.23076923077</v>
      </c>
      <c r="J27" s="56">
        <v>0</v>
      </c>
      <c r="K27" s="56">
        <v>0</v>
      </c>
    </row>
    <row r="28" spans="1:11" x14ac:dyDescent="0.6">
      <c r="A28" s="34"/>
      <c r="B28" s="34" t="s">
        <v>156</v>
      </c>
      <c r="C28" s="56">
        <f>'Ann 1'!$C$25*100000*10%</f>
        <v>53500</v>
      </c>
      <c r="D28" s="56">
        <f>'Ann 1'!$C$25*100000*10%</f>
        <v>53500</v>
      </c>
      <c r="E28" s="56">
        <f>'Ann 1'!$C$25*100000*10%</f>
        <v>53500</v>
      </c>
      <c r="F28" s="56">
        <f>'Ann 1'!$C$25*100000*10%</f>
        <v>53500</v>
      </c>
      <c r="G28" s="56">
        <f>'Ann 1'!$C$25*100000*10%</f>
        <v>53500</v>
      </c>
      <c r="H28" s="56">
        <f>'Ann 1'!$C$25*100000*10%</f>
        <v>53500</v>
      </c>
      <c r="I28" s="56">
        <f>'Ann 1'!$C$25*100000*10%</f>
        <v>53500</v>
      </c>
      <c r="J28" s="56">
        <f>'Ann 1'!$C$25*100000*10%</f>
        <v>53500</v>
      </c>
      <c r="K28" s="56">
        <f>'Ann 1'!$C$25*100000*10%</f>
        <v>53500</v>
      </c>
    </row>
    <row r="29" spans="1:11" x14ac:dyDescent="0.6">
      <c r="A29" s="34"/>
      <c r="B29" s="57" t="s">
        <v>261</v>
      </c>
      <c r="C29" s="56">
        <f>SUM(C27:C28)</f>
        <v>224935.57692307694</v>
      </c>
      <c r="D29" s="56">
        <f t="shared" ref="D29:K29" si="10">SUM(D27:D28)</f>
        <v>203298.07692307691</v>
      </c>
      <c r="E29" s="56">
        <f t="shared" si="10"/>
        <v>176667.30769230769</v>
      </c>
      <c r="F29" s="56">
        <f t="shared" si="10"/>
        <v>150036.53846153844</v>
      </c>
      <c r="G29" s="56">
        <f t="shared" si="10"/>
        <v>123405.76923076923</v>
      </c>
      <c r="H29" s="56">
        <f t="shared" si="10"/>
        <v>96775</v>
      </c>
      <c r="I29" s="56">
        <f t="shared" si="10"/>
        <v>70144.230769230766</v>
      </c>
      <c r="J29" s="56">
        <f t="shared" si="10"/>
        <v>53500</v>
      </c>
      <c r="K29" s="56">
        <f t="shared" si="10"/>
        <v>53500</v>
      </c>
    </row>
    <row r="30" spans="1:11" x14ac:dyDescent="0.6">
      <c r="A30" s="34"/>
      <c r="B30" s="34"/>
      <c r="C30" s="56"/>
      <c r="D30" s="56"/>
      <c r="E30" s="56"/>
      <c r="F30" s="56"/>
      <c r="G30" s="56"/>
      <c r="H30" s="56"/>
      <c r="I30" s="56"/>
      <c r="J30" s="56"/>
      <c r="K30" s="56"/>
    </row>
    <row r="31" spans="1:11" x14ac:dyDescent="0.6">
      <c r="A31" s="34"/>
      <c r="B31" s="34" t="s">
        <v>97</v>
      </c>
      <c r="C31" s="56">
        <f t="shared" ref="C31:K31" si="11">C24-C29</f>
        <v>1258864.423076923</v>
      </c>
      <c r="D31" s="56">
        <f t="shared" si="11"/>
        <v>2114729.923076923</v>
      </c>
      <c r="E31" s="56">
        <f t="shared" si="11"/>
        <v>2397708.2023076979</v>
      </c>
      <c r="F31" s="56">
        <f t="shared" si="11"/>
        <v>2665636.7622384629</v>
      </c>
      <c r="G31" s="56">
        <f t="shared" si="11"/>
        <v>2917524.2877682289</v>
      </c>
      <c r="H31" s="56">
        <f t="shared" si="11"/>
        <v>3312963.1800014377</v>
      </c>
      <c r="I31" s="56">
        <f t="shared" si="11"/>
        <v>3538975.0717954049</v>
      </c>
      <c r="J31" s="56">
        <f t="shared" si="11"/>
        <v>3735569.4987054616</v>
      </c>
      <c r="K31" s="56">
        <f t="shared" si="11"/>
        <v>3875904.16582416</v>
      </c>
    </row>
    <row r="32" spans="1:11" x14ac:dyDescent="0.6">
      <c r="A32" s="34"/>
      <c r="B32" s="34" t="s">
        <v>167</v>
      </c>
      <c r="C32" s="56">
        <f>'Ann 1'!C34*100000</f>
        <v>60000</v>
      </c>
      <c r="D32" s="56">
        <v>0</v>
      </c>
      <c r="E32" s="56">
        <v>0</v>
      </c>
      <c r="F32" s="56">
        <v>0</v>
      </c>
      <c r="G32" s="56">
        <v>0</v>
      </c>
      <c r="H32" s="56">
        <v>0</v>
      </c>
      <c r="I32" s="56">
        <v>0</v>
      </c>
      <c r="J32" s="56">
        <v>0</v>
      </c>
      <c r="K32" s="56">
        <v>0</v>
      </c>
    </row>
    <row r="33" spans="1:11" x14ac:dyDescent="0.6">
      <c r="A33" s="34"/>
      <c r="B33" s="57" t="s">
        <v>98</v>
      </c>
      <c r="C33" s="56">
        <f>'Ann 9'!C12+'Ann 9'!D12+'Ann 9'!E12</f>
        <v>400750</v>
      </c>
      <c r="D33" s="56">
        <f>'Ann 9'!C13+'Ann 9'!D13+'Ann 9'!E13</f>
        <v>348637.5</v>
      </c>
      <c r="E33" s="56">
        <f>'Ann 9'!C14+'Ann 9'!D14+'Ann 9'!E14</f>
        <v>303541.875</v>
      </c>
      <c r="F33" s="56">
        <f>'Ann 9'!C15+'Ann 9'!D15+'Ann 9'!E15</f>
        <v>264490.59375</v>
      </c>
      <c r="G33" s="56">
        <f>'Ann 9'!C16+'Ann 9'!D16+'Ann 9'!E16</f>
        <v>230649.00468750001</v>
      </c>
      <c r="H33" s="56">
        <f>'Ann 9'!C17+'Ann 9'!D17+'Ann 9'!E17</f>
        <v>201300.453984375</v>
      </c>
      <c r="I33" s="56">
        <f>'Ann 9'!C18+'Ann 9'!D18+'Ann 9'!E18</f>
        <v>175829.30588671874</v>
      </c>
      <c r="J33" s="56">
        <f>'Ann 9'!C19+'Ann 9'!D19+'Ann 9'!E19</f>
        <v>153706.43800371094</v>
      </c>
      <c r="K33" s="56">
        <f>'Ann 9'!C20+'Ann 9'!D20+'Ann 9'!E20</f>
        <v>134476.84750315431</v>
      </c>
    </row>
    <row r="34" spans="1:11" x14ac:dyDescent="0.6">
      <c r="A34" s="34"/>
      <c r="B34" s="57" t="s">
        <v>99</v>
      </c>
      <c r="C34" s="56">
        <f>C31-C32-C33</f>
        <v>798114.42307692301</v>
      </c>
      <c r="D34" s="56">
        <f t="shared" ref="D34:K34" si="12">D31-D32-D33</f>
        <v>1766092.423076923</v>
      </c>
      <c r="E34" s="56">
        <f t="shared" si="12"/>
        <v>2094166.3273076979</v>
      </c>
      <c r="F34" s="56">
        <f t="shared" si="12"/>
        <v>2401146.1684884629</v>
      </c>
      <c r="G34" s="56">
        <f t="shared" si="12"/>
        <v>2686875.2830807287</v>
      </c>
      <c r="H34" s="56">
        <f t="shared" si="12"/>
        <v>3111662.7260170626</v>
      </c>
      <c r="I34" s="56">
        <f t="shared" si="12"/>
        <v>3363145.765908686</v>
      </c>
      <c r="J34" s="56">
        <f t="shared" si="12"/>
        <v>3581863.0607017507</v>
      </c>
      <c r="K34" s="56">
        <f t="shared" si="12"/>
        <v>3741427.3183210054</v>
      </c>
    </row>
    <row r="35" spans="1:11" x14ac:dyDescent="0.6">
      <c r="A35" s="34"/>
      <c r="B35" s="57" t="s">
        <v>100</v>
      </c>
      <c r="C35" s="56">
        <f>'Ann 10'!B14</f>
        <v>257434.32692307688</v>
      </c>
      <c r="D35" s="56">
        <f>'Ann 10'!C14</f>
        <v>529827.7269230769</v>
      </c>
      <c r="E35" s="56">
        <f>'Ann 10'!D14</f>
        <v>628249.89819230931</v>
      </c>
      <c r="F35" s="56">
        <f>'Ann 10'!E14</f>
        <v>720343.85054653883</v>
      </c>
      <c r="G35" s="56">
        <f>'Ann 10'!F14</f>
        <v>806062.58492421859</v>
      </c>
      <c r="H35" s="56">
        <f>'Ann 10'!G14</f>
        <v>933498.81780511874</v>
      </c>
      <c r="I35" s="56">
        <f>'Ann 10'!H14</f>
        <v>1008943.7297726057</v>
      </c>
      <c r="J35" s="56">
        <f>'Ann 10'!I14</f>
        <v>1074558.9182105251</v>
      </c>
      <c r="K35" s="56">
        <f>'Ann 10'!J14</f>
        <v>1122428.1954963016</v>
      </c>
    </row>
    <row r="36" spans="1:11" x14ac:dyDescent="0.6">
      <c r="A36" s="34"/>
      <c r="B36" s="57" t="s">
        <v>101</v>
      </c>
      <c r="C36" s="56">
        <f>C34-C35</f>
        <v>540680.09615384613</v>
      </c>
      <c r="D36" s="56">
        <f>D34-D35</f>
        <v>1236264.6961538461</v>
      </c>
      <c r="E36" s="56">
        <f t="shared" ref="E36:K36" si="13">E34-E35</f>
        <v>1465916.4291153885</v>
      </c>
      <c r="F36" s="56">
        <f t="shared" si="13"/>
        <v>1680802.3179419241</v>
      </c>
      <c r="G36" s="56">
        <f t="shared" si="13"/>
        <v>1880812.69815651</v>
      </c>
      <c r="H36" s="56">
        <f t="shared" si="13"/>
        <v>2178163.9082119437</v>
      </c>
      <c r="I36" s="56">
        <f t="shared" si="13"/>
        <v>2354202.0361360805</v>
      </c>
      <c r="J36" s="56">
        <f t="shared" si="13"/>
        <v>2507304.1424912256</v>
      </c>
      <c r="K36" s="56">
        <f t="shared" si="13"/>
        <v>2618999.1228247038</v>
      </c>
    </row>
    <row r="37" spans="1:11" x14ac:dyDescent="0.6">
      <c r="A37" s="34"/>
      <c r="B37" s="57" t="s">
        <v>255</v>
      </c>
      <c r="C37" s="56">
        <f>C36*80%</f>
        <v>432544.07692307694</v>
      </c>
      <c r="D37" s="56">
        <f t="shared" ref="D37:K37" si="14">D36*80%</f>
        <v>989011.75692307693</v>
      </c>
      <c r="E37" s="56">
        <f t="shared" si="14"/>
        <v>1172733.1432923109</v>
      </c>
      <c r="F37" s="56">
        <f t="shared" si="14"/>
        <v>1344641.8543535394</v>
      </c>
      <c r="G37" s="56">
        <f t="shared" si="14"/>
        <v>1504650.158525208</v>
      </c>
      <c r="H37" s="56">
        <f t="shared" si="14"/>
        <v>1742531.1265695551</v>
      </c>
      <c r="I37" s="56">
        <f t="shared" si="14"/>
        <v>1883361.6289088645</v>
      </c>
      <c r="J37" s="56">
        <f t="shared" si="14"/>
        <v>2005843.3139929806</v>
      </c>
      <c r="K37" s="56">
        <f t="shared" si="14"/>
        <v>2095199.298259763</v>
      </c>
    </row>
    <row r="38" spans="1:11" x14ac:dyDescent="0.6">
      <c r="A38" s="34"/>
      <c r="B38" s="57" t="s">
        <v>111</v>
      </c>
      <c r="C38" s="56">
        <f>C36-C37</f>
        <v>108136.01923076919</v>
      </c>
      <c r="D38" s="56">
        <f t="shared" ref="D38:K38" si="15">D36-D37</f>
        <v>247252.93923076917</v>
      </c>
      <c r="E38" s="56">
        <f t="shared" si="15"/>
        <v>293183.28582307766</v>
      </c>
      <c r="F38" s="56">
        <f t="shared" si="15"/>
        <v>336160.46358838468</v>
      </c>
      <c r="G38" s="56">
        <f t="shared" si="15"/>
        <v>376162.539631302</v>
      </c>
      <c r="H38" s="56">
        <f t="shared" si="15"/>
        <v>435632.78164238855</v>
      </c>
      <c r="I38" s="56">
        <f t="shared" si="15"/>
        <v>470840.40722721606</v>
      </c>
      <c r="J38" s="56">
        <f t="shared" si="15"/>
        <v>501460.82849824498</v>
      </c>
      <c r="K38" s="56">
        <f t="shared" si="15"/>
        <v>523799.82456494076</v>
      </c>
    </row>
    <row r="40" spans="1:11" x14ac:dyDescent="0.6">
      <c r="A40" s="6" t="s">
        <v>297</v>
      </c>
    </row>
    <row r="41" spans="1:11" x14ac:dyDescent="0.6">
      <c r="A41" s="6" t="s">
        <v>271</v>
      </c>
    </row>
    <row r="42" spans="1:11" x14ac:dyDescent="0.6">
      <c r="B42" s="6" t="s">
        <v>163</v>
      </c>
      <c r="C42" s="6">
        <v>80000</v>
      </c>
      <c r="D42" s="6">
        <f>C42*1.05</f>
        <v>84000</v>
      </c>
      <c r="E42" s="6">
        <f t="shared" ref="E42:K42" si="16">D42*1.05</f>
        <v>88200</v>
      </c>
      <c r="F42" s="6">
        <f t="shared" si="16"/>
        <v>92610</v>
      </c>
      <c r="G42" s="6">
        <f t="shared" si="16"/>
        <v>97240.5</v>
      </c>
      <c r="H42" s="6">
        <f t="shared" si="16"/>
        <v>102102.52500000001</v>
      </c>
      <c r="I42" s="6">
        <f t="shared" si="16"/>
        <v>107207.65125000001</v>
      </c>
      <c r="J42" s="6">
        <f t="shared" si="16"/>
        <v>112568.03381250001</v>
      </c>
      <c r="K42" s="6">
        <f t="shared" si="16"/>
        <v>118196.43550312502</v>
      </c>
    </row>
    <row r="43" spans="1:11" x14ac:dyDescent="0.6">
      <c r="B43" s="6" t="s">
        <v>69</v>
      </c>
      <c r="C43" s="6">
        <f>C42*14</f>
        <v>1120000</v>
      </c>
      <c r="D43" s="6">
        <f t="shared" ref="D43:K43" si="17">D42*14</f>
        <v>1176000</v>
      </c>
      <c r="E43" s="6">
        <f t="shared" si="17"/>
        <v>1234800</v>
      </c>
      <c r="F43" s="6">
        <f t="shared" si="17"/>
        <v>1296540</v>
      </c>
      <c r="G43" s="6">
        <f t="shared" si="17"/>
        <v>1361367</v>
      </c>
      <c r="H43" s="6">
        <f t="shared" si="17"/>
        <v>1429435.35</v>
      </c>
      <c r="I43" s="6">
        <f t="shared" si="17"/>
        <v>1500907.1175000002</v>
      </c>
      <c r="J43" s="6">
        <f t="shared" si="17"/>
        <v>1575952.4733750001</v>
      </c>
      <c r="K43" s="6">
        <f t="shared" si="17"/>
        <v>1654750.0970437503</v>
      </c>
    </row>
    <row r="44" spans="1:11" x14ac:dyDescent="0.6">
      <c r="A44" s="6" t="s">
        <v>272</v>
      </c>
    </row>
    <row r="45" spans="1:11" x14ac:dyDescent="0.6">
      <c r="A45" s="6" t="s">
        <v>319</v>
      </c>
    </row>
    <row r="46" spans="1:11" x14ac:dyDescent="0.6">
      <c r="A46" s="6" t="s">
        <v>320</v>
      </c>
    </row>
  </sheetData>
  <mergeCells count="3">
    <mergeCell ref="C3:K3"/>
    <mergeCell ref="B3:B4"/>
    <mergeCell ref="A3:A4"/>
  </mergeCells>
  <pageMargins left="0.7" right="0.7" top="0.75" bottom="0.75" header="0.3" footer="0.3"/>
  <pageSetup scale="58" fitToHeight="0" orientation="landscape" r:id="rId1"/>
  <ignoredErrors>
    <ignoredError sqref="D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5"/>
  <sheetViews>
    <sheetView topLeftCell="A31" workbookViewId="0">
      <selection activeCell="C13" sqref="C13"/>
    </sheetView>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112</v>
      </c>
    </row>
    <row r="3" spans="1:11" x14ac:dyDescent="0.6">
      <c r="A3" s="6" t="s">
        <v>282</v>
      </c>
    </row>
    <row r="5" spans="1:11" x14ac:dyDescent="0.6">
      <c r="A5" s="140" t="s">
        <v>36</v>
      </c>
      <c r="B5" s="140" t="s">
        <v>37</v>
      </c>
      <c r="C5" s="141" t="s">
        <v>47</v>
      </c>
      <c r="D5" s="141"/>
      <c r="E5" s="141"/>
      <c r="F5" s="141"/>
      <c r="G5" s="141"/>
      <c r="H5" s="141"/>
      <c r="I5" s="141"/>
      <c r="J5" s="141"/>
      <c r="K5" s="141"/>
    </row>
    <row r="6" spans="1:11" x14ac:dyDescent="0.6">
      <c r="A6" s="140"/>
      <c r="B6" s="140"/>
      <c r="C6" s="58" t="s">
        <v>38</v>
      </c>
      <c r="D6" s="58" t="s">
        <v>39</v>
      </c>
      <c r="E6" s="58" t="s">
        <v>40</v>
      </c>
      <c r="F6" s="58" t="s">
        <v>41</v>
      </c>
      <c r="G6" s="58" t="s">
        <v>42</v>
      </c>
      <c r="H6" s="58" t="s">
        <v>43</v>
      </c>
      <c r="I6" s="58" t="s">
        <v>44</v>
      </c>
      <c r="J6" s="58" t="s">
        <v>45</v>
      </c>
      <c r="K6" s="58" t="s">
        <v>46</v>
      </c>
    </row>
    <row r="7" spans="1:11" x14ac:dyDescent="0.6">
      <c r="A7" s="37" t="s">
        <v>143</v>
      </c>
      <c r="B7" s="61" t="s">
        <v>113</v>
      </c>
      <c r="C7" s="62"/>
      <c r="D7" s="62"/>
      <c r="E7" s="63"/>
      <c r="F7" s="63"/>
      <c r="G7" s="63"/>
      <c r="H7" s="63"/>
      <c r="I7" s="63"/>
      <c r="J7" s="63"/>
      <c r="K7" s="63"/>
    </row>
    <row r="8" spans="1:11" x14ac:dyDescent="0.6">
      <c r="A8" s="26">
        <v>1</v>
      </c>
      <c r="B8" s="27" t="s">
        <v>114</v>
      </c>
      <c r="C8" s="13"/>
      <c r="D8" s="13"/>
      <c r="E8" s="14"/>
      <c r="F8" s="14"/>
      <c r="G8" s="14"/>
      <c r="H8" s="14"/>
      <c r="I8" s="14"/>
      <c r="J8" s="14"/>
      <c r="K8" s="14"/>
    </row>
    <row r="9" spans="1:11" x14ac:dyDescent="0.6">
      <c r="A9" s="26"/>
      <c r="B9" s="27" t="s">
        <v>115</v>
      </c>
      <c r="C9" s="65">
        <f>('Ann 9'!F9*100000)+('Ann 1'!C8*100000)</f>
        <v>3204999.9999999995</v>
      </c>
      <c r="D9" s="65">
        <f>C11</f>
        <v>2804249.9999999995</v>
      </c>
      <c r="E9" s="28">
        <f t="shared" ref="E9:K9" si="0">D11</f>
        <v>2455612.4999999995</v>
      </c>
      <c r="F9" s="28">
        <f t="shared" si="0"/>
        <v>2152070.6249999995</v>
      </c>
      <c r="G9" s="28">
        <f t="shared" si="0"/>
        <v>1887580.0312499995</v>
      </c>
      <c r="H9" s="28">
        <f t="shared" si="0"/>
        <v>1656931.0265624996</v>
      </c>
      <c r="I9" s="28">
        <f t="shared" si="0"/>
        <v>1455630.5725781247</v>
      </c>
      <c r="J9" s="28">
        <f t="shared" si="0"/>
        <v>1279801.266691406</v>
      </c>
      <c r="K9" s="28">
        <f t="shared" si="0"/>
        <v>1126094.8286876951</v>
      </c>
    </row>
    <row r="10" spans="1:11" x14ac:dyDescent="0.6">
      <c r="A10" s="26"/>
      <c r="B10" s="27" t="s">
        <v>116</v>
      </c>
      <c r="C10" s="65">
        <f>'Ann 9'!C12+'Ann 9'!D12+'Ann 9'!E12</f>
        <v>400750</v>
      </c>
      <c r="D10" s="65">
        <f>'Ann 9'!C13+'Ann 9'!D13+'Ann 9'!E13</f>
        <v>348637.5</v>
      </c>
      <c r="E10" s="28">
        <f>'Ann 9'!C14+'Ann 9'!D14+'Ann 9'!E14</f>
        <v>303541.875</v>
      </c>
      <c r="F10" s="28">
        <f>'Ann 9'!C15+'Ann 9'!D15+'Ann 9'!E15</f>
        <v>264490.59375</v>
      </c>
      <c r="G10" s="28">
        <f>'Ann 9'!C16+'Ann 9'!D16+'Ann 9'!E16</f>
        <v>230649.00468750001</v>
      </c>
      <c r="H10" s="28">
        <f>'Ann 9'!C17+'Ann 9'!D17+'Ann 9'!E17</f>
        <v>201300.453984375</v>
      </c>
      <c r="I10" s="28">
        <f>+'Ann 9'!C18+'Ann 9'!D18+'Ann 9'!E18</f>
        <v>175829.30588671874</v>
      </c>
      <c r="J10" s="28">
        <f>'Ann 9'!C19+'Ann 9'!D19+'Ann 9'!E19</f>
        <v>153706.43800371094</v>
      </c>
      <c r="K10" s="28">
        <f>+'Ann 9'!C20+'Ann 9'!D20+'Ann 9'!E20</f>
        <v>134476.84750315431</v>
      </c>
    </row>
    <row r="11" spans="1:11" collapsed="1" x14ac:dyDescent="0.6">
      <c r="A11" s="26"/>
      <c r="B11" s="27" t="s">
        <v>285</v>
      </c>
      <c r="C11" s="65">
        <f>C9-C10</f>
        <v>2804249.9999999995</v>
      </c>
      <c r="D11" s="65">
        <f>D9-D10</f>
        <v>2455612.4999999995</v>
      </c>
      <c r="E11" s="28">
        <f t="shared" ref="E11:K11" si="1">E9-E10</f>
        <v>2152070.6249999995</v>
      </c>
      <c r="F11" s="28">
        <f t="shared" si="1"/>
        <v>1887580.0312499995</v>
      </c>
      <c r="G11" s="28">
        <f t="shared" si="1"/>
        <v>1656931.0265624996</v>
      </c>
      <c r="H11" s="28">
        <f t="shared" si="1"/>
        <v>1455630.5725781247</v>
      </c>
      <c r="I11" s="28">
        <f t="shared" si="1"/>
        <v>1279801.266691406</v>
      </c>
      <c r="J11" s="28">
        <f t="shared" si="1"/>
        <v>1126094.8286876951</v>
      </c>
      <c r="K11" s="28">
        <f t="shared" si="1"/>
        <v>991617.98118454078</v>
      </c>
    </row>
    <row r="12" spans="1:11" x14ac:dyDescent="0.6">
      <c r="A12" s="26">
        <v>2</v>
      </c>
      <c r="B12" s="27" t="s">
        <v>117</v>
      </c>
      <c r="C12" s="65">
        <f>'Ann 4'!C23*60/300</f>
        <v>9622800</v>
      </c>
      <c r="D12" s="64">
        <f>'Ann 4'!D23*60/300</f>
        <v>11467170.000000002</v>
      </c>
      <c r="E12" s="64">
        <f>'Ann 4'!E23*60/300</f>
        <v>12349260.000000002</v>
      </c>
      <c r="F12" s="64">
        <f>'Ann 4'!F23*60/300</f>
        <v>13231350.000000002</v>
      </c>
      <c r="G12" s="64">
        <f>'Ann 4'!G23*60/300</f>
        <v>14113440</v>
      </c>
      <c r="H12" s="64">
        <f>'Ann 4'!H23*60/300</f>
        <v>15298470</v>
      </c>
      <c r="I12" s="64">
        <f>'Ann 4'!I23*60/300</f>
        <v>16198380</v>
      </c>
      <c r="J12" s="64">
        <f>'Ann 4'!J23*60/300</f>
        <v>17098290</v>
      </c>
      <c r="K12" s="64">
        <f>'Ann 4'!K23*60/300</f>
        <v>17962560</v>
      </c>
    </row>
    <row r="13" spans="1:11" x14ac:dyDescent="0.6">
      <c r="A13" s="26">
        <v>3</v>
      </c>
      <c r="B13" s="66" t="s">
        <v>257</v>
      </c>
      <c r="C13" s="65">
        <f>'Ann 4'!C13</f>
        <v>469800</v>
      </c>
      <c r="D13" s="64">
        <f>'Ann 4'!D13</f>
        <v>978750</v>
      </c>
      <c r="E13" s="64">
        <f>'Ann 4'!E13</f>
        <v>1526850</v>
      </c>
      <c r="F13" s="64">
        <f>'Ann 4'!F13</f>
        <v>2114100</v>
      </c>
      <c r="G13" s="64">
        <f>'Ann 4'!G13</f>
        <v>2740500</v>
      </c>
      <c r="H13" s="64">
        <f>'Ann 4'!H13</f>
        <v>2074950</v>
      </c>
      <c r="I13" s="64">
        <f>'Ann 4'!I13</f>
        <v>1370250</v>
      </c>
      <c r="J13" s="64">
        <f>'Ann 4'!J13</f>
        <v>626400</v>
      </c>
      <c r="K13" s="64">
        <f>'Ann 4'!K13</f>
        <v>0</v>
      </c>
    </row>
    <row r="14" spans="1:11" x14ac:dyDescent="0.6">
      <c r="A14" s="26">
        <v>4</v>
      </c>
      <c r="B14" s="27" t="s">
        <v>118</v>
      </c>
      <c r="C14" s="125">
        <f>'Ann 14'!C21</f>
        <v>3532282.942307692</v>
      </c>
      <c r="D14" s="67">
        <f>'Ann 14'!D21</f>
        <v>3773400.2276923107</v>
      </c>
      <c r="E14" s="67">
        <f>'Ann 14'!E21</f>
        <v>3664190.2346692374</v>
      </c>
      <c r="F14" s="67">
        <f>'Ann 14'!F21</f>
        <v>3519756.1381614693</v>
      </c>
      <c r="G14" s="67">
        <f>'Ann 14'!G21</f>
        <v>3342332.5286341142</v>
      </c>
      <c r="H14" s="67">
        <f>'Ann 14'!H21</f>
        <v>4184040.6104147257</v>
      </c>
      <c r="I14" s="67">
        <f>'Ann 14'!I21</f>
        <v>5359755.1696825102</v>
      </c>
      <c r="J14" s="67">
        <f>'Ann 14'!J21</f>
        <v>7026963.4361844584</v>
      </c>
      <c r="K14" s="67">
        <f>'Ann 14'!K21</f>
        <v>8615471.1082525607</v>
      </c>
    </row>
    <row r="15" spans="1:11" x14ac:dyDescent="0.6">
      <c r="A15" s="26"/>
      <c r="B15" s="27" t="s">
        <v>125</v>
      </c>
      <c r="C15" s="65">
        <f t="shared" ref="C15:K15" si="2">SUM(C11:C14)</f>
        <v>16429132.942307692</v>
      </c>
      <c r="D15" s="64">
        <f t="shared" si="2"/>
        <v>18674932.727692313</v>
      </c>
      <c r="E15" s="68">
        <f t="shared" si="2"/>
        <v>19692370.859669238</v>
      </c>
      <c r="F15" s="68">
        <f t="shared" si="2"/>
        <v>20752786.169411469</v>
      </c>
      <c r="G15" s="68">
        <f t="shared" si="2"/>
        <v>21853203.555196613</v>
      </c>
      <c r="H15" s="68">
        <f t="shared" si="2"/>
        <v>23013091.182992849</v>
      </c>
      <c r="I15" s="68">
        <f t="shared" si="2"/>
        <v>24208186.436373916</v>
      </c>
      <c r="J15" s="68">
        <f t="shared" si="2"/>
        <v>25877748.264872152</v>
      </c>
      <c r="K15" s="68">
        <f t="shared" si="2"/>
        <v>27569649.089437105</v>
      </c>
    </row>
    <row r="16" spans="1:11" x14ac:dyDescent="0.6">
      <c r="A16" s="26"/>
      <c r="B16" s="27"/>
      <c r="C16" s="65"/>
      <c r="D16" s="64"/>
      <c r="E16" s="68"/>
      <c r="F16" s="68"/>
      <c r="G16" s="68"/>
      <c r="H16" s="68"/>
      <c r="I16" s="68"/>
      <c r="J16" s="68"/>
      <c r="K16" s="68"/>
    </row>
    <row r="17" spans="1:13" x14ac:dyDescent="0.6">
      <c r="A17" s="26" t="s">
        <v>144</v>
      </c>
      <c r="B17" s="69" t="s">
        <v>119</v>
      </c>
      <c r="C17" s="65"/>
      <c r="D17" s="13"/>
      <c r="E17" s="14"/>
      <c r="F17" s="14"/>
      <c r="G17" s="14"/>
      <c r="H17" s="14"/>
      <c r="I17" s="14"/>
      <c r="J17" s="14"/>
      <c r="K17" s="14"/>
    </row>
    <row r="18" spans="1:13" x14ac:dyDescent="0.6">
      <c r="A18" s="26">
        <v>1</v>
      </c>
      <c r="B18" s="27" t="s">
        <v>120</v>
      </c>
      <c r="C18" s="125">
        <f>'Ann 2'!C4*100000</f>
        <v>380000</v>
      </c>
      <c r="D18" s="67">
        <f>C21</f>
        <v>488136.01923076919</v>
      </c>
      <c r="E18" s="70">
        <f t="shared" ref="E18:K18" si="3">D21</f>
        <v>735388.95846153842</v>
      </c>
      <c r="F18" s="70">
        <f t="shared" si="3"/>
        <v>1028572.2442846161</v>
      </c>
      <c r="G18" s="70">
        <f t="shared" si="3"/>
        <v>1364732.7078730008</v>
      </c>
      <c r="H18" s="70">
        <f t="shared" si="3"/>
        <v>1740895.2475043028</v>
      </c>
      <c r="I18" s="70">
        <f t="shared" si="3"/>
        <v>2176528.0291466913</v>
      </c>
      <c r="J18" s="70">
        <f t="shared" si="3"/>
        <v>2647368.4363739071</v>
      </c>
      <c r="K18" s="70">
        <f t="shared" si="3"/>
        <v>3148829.2648721524</v>
      </c>
    </row>
    <row r="19" spans="1:13" x14ac:dyDescent="0.6">
      <c r="A19" s="26"/>
      <c r="B19" s="27" t="s">
        <v>121</v>
      </c>
      <c r="C19" s="125">
        <f>'Ann 4'!C38</f>
        <v>108136.01923076919</v>
      </c>
      <c r="D19" s="67">
        <f>'Ann 4'!D38</f>
        <v>247252.93923076917</v>
      </c>
      <c r="E19" s="70">
        <f>'Ann 4'!E38</f>
        <v>293183.28582307766</v>
      </c>
      <c r="F19" s="70">
        <f>'Ann 4'!F38</f>
        <v>336160.46358838468</v>
      </c>
      <c r="G19" s="70">
        <f>'Ann 4'!G38</f>
        <v>376162.539631302</v>
      </c>
      <c r="H19" s="70">
        <f>'Ann 4'!H38</f>
        <v>435632.78164238855</v>
      </c>
      <c r="I19" s="70">
        <f>'Ann 4'!I38</f>
        <v>470840.40722721606</v>
      </c>
      <c r="J19" s="70">
        <f>'Ann 4'!J38</f>
        <v>501460.82849824498</v>
      </c>
      <c r="K19" s="70">
        <f>'Ann 4'!K38</f>
        <v>523799.82456494076</v>
      </c>
    </row>
    <row r="20" spans="1:13" x14ac:dyDescent="0.6">
      <c r="A20" s="26"/>
      <c r="B20" s="27" t="s">
        <v>122</v>
      </c>
      <c r="C20" s="125">
        <v>0</v>
      </c>
      <c r="D20" s="67">
        <v>0</v>
      </c>
      <c r="E20" s="70">
        <v>0</v>
      </c>
      <c r="F20" s="70">
        <v>0</v>
      </c>
      <c r="G20" s="70">
        <v>0</v>
      </c>
      <c r="H20" s="70">
        <v>0</v>
      </c>
      <c r="I20" s="70">
        <v>0</v>
      </c>
      <c r="J20" s="70">
        <v>0</v>
      </c>
      <c r="K20" s="70">
        <v>0</v>
      </c>
    </row>
    <row r="21" spans="1:13" x14ac:dyDescent="0.6">
      <c r="A21" s="26"/>
      <c r="B21" s="27" t="s">
        <v>123</v>
      </c>
      <c r="C21" s="125">
        <f>C18+C19</f>
        <v>488136.01923076919</v>
      </c>
      <c r="D21" s="67">
        <f t="shared" ref="D21:K21" si="4">D18+D19</f>
        <v>735388.95846153842</v>
      </c>
      <c r="E21" s="70">
        <f t="shared" si="4"/>
        <v>1028572.2442846161</v>
      </c>
      <c r="F21" s="70">
        <f t="shared" si="4"/>
        <v>1364732.7078730008</v>
      </c>
      <c r="G21" s="70">
        <f t="shared" si="4"/>
        <v>1740895.2475043028</v>
      </c>
      <c r="H21" s="70">
        <f t="shared" si="4"/>
        <v>2176528.0291466913</v>
      </c>
      <c r="I21" s="70">
        <f t="shared" si="4"/>
        <v>2647368.4363739071</v>
      </c>
      <c r="J21" s="70">
        <f t="shared" si="4"/>
        <v>3148829.2648721524</v>
      </c>
      <c r="K21" s="70">
        <f t="shared" si="4"/>
        <v>3672629.0894370931</v>
      </c>
    </row>
    <row r="22" spans="1:13" x14ac:dyDescent="0.6">
      <c r="A22" s="26">
        <v>2</v>
      </c>
      <c r="B22" s="27" t="s">
        <v>28</v>
      </c>
      <c r="C22" s="125">
        <f>'Ann 13'!C13*100000</f>
        <v>2663076.923076923</v>
      </c>
      <c r="D22" s="67">
        <f>'Ann 13'!C17*100000</f>
        <v>2219230.7692307695</v>
      </c>
      <c r="E22" s="67">
        <f>'Ann 13'!C21*100000</f>
        <v>1775384.6153846155</v>
      </c>
      <c r="F22" s="67">
        <f>'Ann 13'!C25*100000</f>
        <v>1331538.4615384615</v>
      </c>
      <c r="G22" s="70">
        <f>('Ann 13'!C28-'Ann 13'!D28)*100000</f>
        <v>887692.30769230775</v>
      </c>
      <c r="H22" s="70">
        <f>('Ann 13'!C32-'Ann 13'!D32)*100000</f>
        <v>443846.15384615387</v>
      </c>
      <c r="I22" s="70">
        <v>0</v>
      </c>
      <c r="J22" s="70">
        <v>0</v>
      </c>
      <c r="K22" s="70">
        <v>0</v>
      </c>
    </row>
    <row r="23" spans="1:13" x14ac:dyDescent="0.6">
      <c r="A23" s="26">
        <v>3</v>
      </c>
      <c r="B23" s="66" t="s">
        <v>155</v>
      </c>
      <c r="C23" s="125">
        <f>'Ann 2'!$C$7*100000</f>
        <v>535000</v>
      </c>
      <c r="D23" s="67">
        <f>'Ann 2'!$C$7*100000</f>
        <v>535000</v>
      </c>
      <c r="E23" s="67">
        <f>'Ann 2'!$C$7*100000</f>
        <v>535000</v>
      </c>
      <c r="F23" s="67">
        <f>'Ann 2'!$C$7*100000</f>
        <v>535000</v>
      </c>
      <c r="G23" s="67">
        <f>'Ann 2'!$C$7*100000</f>
        <v>535000</v>
      </c>
      <c r="H23" s="67">
        <f>'Ann 2'!$C$7*100000</f>
        <v>535000</v>
      </c>
      <c r="I23" s="67">
        <f>'Ann 2'!$C$7*100000</f>
        <v>535000</v>
      </c>
      <c r="J23" s="67">
        <f>'Ann 2'!$C$7*100000</f>
        <v>535000</v>
      </c>
      <c r="K23" s="67">
        <f>'Ann 2'!$C$7*100000</f>
        <v>535000</v>
      </c>
    </row>
    <row r="24" spans="1:13" x14ac:dyDescent="0.6">
      <c r="A24" s="26">
        <v>4</v>
      </c>
      <c r="B24" s="66" t="s">
        <v>150</v>
      </c>
      <c r="C24" s="125">
        <f>('Ann 4'!C10+'Ann 4'!C7)*90/300</f>
        <v>12742920</v>
      </c>
      <c r="D24" s="67">
        <f>('Ann 4'!D10+'Ann 4'!D7)*90/300</f>
        <v>15185313.000000004</v>
      </c>
      <c r="E24" s="67">
        <f>('Ann 4'!E10+'Ann 4'!E7)*90/300</f>
        <v>16353414</v>
      </c>
      <c r="F24" s="67">
        <f>('Ann 4'!F10+'Ann 4'!F7)*90/300</f>
        <v>17521515</v>
      </c>
      <c r="G24" s="67">
        <f>('Ann 4'!G10+'Ann 4'!G7)*90/300</f>
        <v>18689616</v>
      </c>
      <c r="H24" s="67">
        <f>('Ann 4'!H10+'Ann 4'!H7)*90/300</f>
        <v>19857717</v>
      </c>
      <c r="I24" s="67">
        <f>('Ann 4'!I10+'Ann 4'!I7)*90/300</f>
        <v>21025818.000000004</v>
      </c>
      <c r="J24" s="67">
        <f>('Ann 4'!J10+'Ann 4'!J7)*90/300</f>
        <v>22193919</v>
      </c>
      <c r="K24" s="67">
        <f>('Ann 4'!K10+'Ann 4'!K7)*90/300</f>
        <v>23362020.000000004</v>
      </c>
    </row>
    <row r="25" spans="1:13" x14ac:dyDescent="0.6">
      <c r="A25" s="26"/>
      <c r="B25" s="27" t="s">
        <v>124</v>
      </c>
      <c r="C25" s="65">
        <f t="shared" ref="C25:K25" si="5">SUM(C21:C24)</f>
        <v>16429132.942307692</v>
      </c>
      <c r="D25" s="64">
        <f t="shared" si="5"/>
        <v>18674932.727692313</v>
      </c>
      <c r="E25" s="64">
        <f t="shared" si="5"/>
        <v>19692370.859669231</v>
      </c>
      <c r="F25" s="64">
        <f t="shared" si="5"/>
        <v>20752786.169411462</v>
      </c>
      <c r="G25" s="64">
        <f t="shared" si="5"/>
        <v>21853203.555196609</v>
      </c>
      <c r="H25" s="64">
        <f t="shared" si="5"/>
        <v>23013091.182992846</v>
      </c>
      <c r="I25" s="64">
        <f t="shared" si="5"/>
        <v>24208186.436373912</v>
      </c>
      <c r="J25" s="64">
        <f t="shared" si="5"/>
        <v>25877748.264872152</v>
      </c>
      <c r="K25" s="64">
        <f t="shared" si="5"/>
        <v>27569649.089437097</v>
      </c>
    </row>
    <row r="26" spans="1:13" x14ac:dyDescent="0.6">
      <c r="A26" s="26"/>
      <c r="B26" s="27"/>
      <c r="C26" s="65"/>
      <c r="D26" s="65"/>
      <c r="E26" s="65"/>
      <c r="F26" s="65"/>
      <c r="G26" s="65"/>
      <c r="H26" s="65"/>
      <c r="I26" s="65"/>
      <c r="J26" s="65"/>
      <c r="K26" s="65"/>
      <c r="L26" s="71"/>
      <c r="M26" s="27"/>
    </row>
    <row r="27" spans="1:13" x14ac:dyDescent="0.6">
      <c r="A27" s="77"/>
      <c r="B27" s="78" t="s">
        <v>126</v>
      </c>
      <c r="C27" s="79"/>
      <c r="D27" s="79"/>
      <c r="E27" s="80"/>
      <c r="F27" s="80"/>
      <c r="G27" s="80"/>
      <c r="H27" s="80"/>
      <c r="I27" s="80"/>
      <c r="J27" s="80"/>
      <c r="K27" s="80"/>
    </row>
    <row r="28" spans="1:13" x14ac:dyDescent="0.6">
      <c r="A28" s="26"/>
      <c r="B28" s="27" t="s">
        <v>127</v>
      </c>
      <c r="C28" s="64">
        <f t="shared" ref="C28:K28" si="6">SUM(C12:C14)</f>
        <v>13624882.942307692</v>
      </c>
      <c r="D28" s="64">
        <f t="shared" si="6"/>
        <v>16219320.227692313</v>
      </c>
      <c r="E28" s="68">
        <f t="shared" si="6"/>
        <v>17540300.234669238</v>
      </c>
      <c r="F28" s="68">
        <f t="shared" si="6"/>
        <v>18865206.138161473</v>
      </c>
      <c r="G28" s="68">
        <f t="shared" si="6"/>
        <v>20196272.528634116</v>
      </c>
      <c r="H28" s="68">
        <f t="shared" si="6"/>
        <v>21557460.610414725</v>
      </c>
      <c r="I28" s="68">
        <f t="shared" si="6"/>
        <v>22928385.16968251</v>
      </c>
      <c r="J28" s="68">
        <f t="shared" si="6"/>
        <v>24751653.436184458</v>
      </c>
      <c r="K28" s="68">
        <f t="shared" si="6"/>
        <v>26578031.108252563</v>
      </c>
    </row>
    <row r="29" spans="1:13" x14ac:dyDescent="0.6">
      <c r="A29" s="26"/>
      <c r="B29" s="27" t="s">
        <v>128</v>
      </c>
      <c r="C29" s="64">
        <f>C24+C23</f>
        <v>13277920</v>
      </c>
      <c r="D29" s="64">
        <f t="shared" ref="D29:K29" si="7">D24+D23</f>
        <v>15720313.000000004</v>
      </c>
      <c r="E29" s="64">
        <f t="shared" si="7"/>
        <v>16888414</v>
      </c>
      <c r="F29" s="64">
        <f t="shared" si="7"/>
        <v>18056515</v>
      </c>
      <c r="G29" s="64">
        <f t="shared" si="7"/>
        <v>19224616</v>
      </c>
      <c r="H29" s="64">
        <f t="shared" si="7"/>
        <v>20392717</v>
      </c>
      <c r="I29" s="64">
        <f t="shared" si="7"/>
        <v>21560818.000000004</v>
      </c>
      <c r="J29" s="64">
        <f t="shared" si="7"/>
        <v>22728919</v>
      </c>
      <c r="K29" s="64">
        <f t="shared" si="7"/>
        <v>23897020.000000004</v>
      </c>
    </row>
    <row r="30" spans="1:13" x14ac:dyDescent="0.6">
      <c r="A30" s="26"/>
      <c r="B30" s="27" t="s">
        <v>132</v>
      </c>
      <c r="C30" s="13">
        <f>C28/C29</f>
        <v>1.0261308203625035</v>
      </c>
      <c r="D30" s="13">
        <f>D28/D29</f>
        <v>1.0317428302917575</v>
      </c>
      <c r="E30" s="14">
        <f t="shared" ref="E30:K30" si="8">E28/E29</f>
        <v>1.0385996124129382</v>
      </c>
      <c r="F30" s="14">
        <f t="shared" si="8"/>
        <v>1.044786667757398</v>
      </c>
      <c r="G30" s="14">
        <f t="shared" si="8"/>
        <v>1.0505423114112717</v>
      </c>
      <c r="H30" s="14">
        <f t="shared" si="8"/>
        <v>1.0571156658730039</v>
      </c>
      <c r="I30" s="14">
        <f t="shared" si="8"/>
        <v>1.0634283527499979</v>
      </c>
      <c r="J30" s="14">
        <f t="shared" si="8"/>
        <v>1.0889938688322334</v>
      </c>
      <c r="K30" s="14">
        <f t="shared" si="8"/>
        <v>1.1121901855650855</v>
      </c>
    </row>
    <row r="31" spans="1:13" x14ac:dyDescent="0.6">
      <c r="A31" s="26"/>
      <c r="B31" s="66" t="s">
        <v>145</v>
      </c>
      <c r="C31" s="13"/>
      <c r="D31" s="13"/>
      <c r="E31" s="14"/>
      <c r="F31" s="14">
        <f>AVERAGE(C30:K30)</f>
        <v>1.0570589239173545</v>
      </c>
      <c r="G31" s="14"/>
      <c r="H31" s="14"/>
      <c r="I31" s="14"/>
      <c r="J31" s="14"/>
      <c r="K31" s="14"/>
    </row>
    <row r="32" spans="1:13" x14ac:dyDescent="0.6">
      <c r="A32" s="26"/>
      <c r="B32" s="27"/>
      <c r="C32" s="13"/>
      <c r="D32" s="13"/>
      <c r="E32" s="14"/>
      <c r="F32" s="14"/>
      <c r="G32" s="14"/>
      <c r="H32" s="14"/>
      <c r="I32" s="14"/>
      <c r="J32" s="14"/>
      <c r="K32" s="14"/>
    </row>
    <row r="33" spans="1:11" x14ac:dyDescent="0.6">
      <c r="A33" s="77"/>
      <c r="B33" s="78" t="s">
        <v>129</v>
      </c>
      <c r="C33" s="79"/>
      <c r="D33" s="79"/>
      <c r="E33" s="80"/>
      <c r="F33" s="80"/>
      <c r="G33" s="80"/>
      <c r="H33" s="80"/>
      <c r="I33" s="80"/>
      <c r="J33" s="80"/>
      <c r="K33" s="80"/>
    </row>
    <row r="34" spans="1:11" x14ac:dyDescent="0.6">
      <c r="A34" s="26"/>
      <c r="B34" s="27" t="s">
        <v>130</v>
      </c>
      <c r="C34" s="64">
        <f>C22+C23</f>
        <v>3198076.923076923</v>
      </c>
      <c r="D34" s="64">
        <f t="shared" ref="D34:K34" si="9">D22+D23</f>
        <v>2754230.7692307695</v>
      </c>
      <c r="E34" s="64">
        <f t="shared" si="9"/>
        <v>2310384.6153846155</v>
      </c>
      <c r="F34" s="64">
        <f t="shared" si="9"/>
        <v>1866538.4615384615</v>
      </c>
      <c r="G34" s="64">
        <f t="shared" si="9"/>
        <v>1422692.3076923077</v>
      </c>
      <c r="H34" s="64">
        <f t="shared" si="9"/>
        <v>978846.15384615387</v>
      </c>
      <c r="I34" s="64">
        <f t="shared" si="9"/>
        <v>535000</v>
      </c>
      <c r="J34" s="64">
        <f t="shared" si="9"/>
        <v>535000</v>
      </c>
      <c r="K34" s="64">
        <f t="shared" si="9"/>
        <v>535000</v>
      </c>
    </row>
    <row r="35" spans="1:11" x14ac:dyDescent="0.6">
      <c r="A35" s="26"/>
      <c r="B35" s="27" t="s">
        <v>131</v>
      </c>
      <c r="C35" s="64">
        <f t="shared" ref="C35:K35" si="10">C21</f>
        <v>488136.01923076919</v>
      </c>
      <c r="D35" s="64">
        <f t="shared" si="10"/>
        <v>735388.95846153842</v>
      </c>
      <c r="E35" s="68">
        <f t="shared" si="10"/>
        <v>1028572.2442846161</v>
      </c>
      <c r="F35" s="68">
        <f t="shared" si="10"/>
        <v>1364732.7078730008</v>
      </c>
      <c r="G35" s="68">
        <f t="shared" si="10"/>
        <v>1740895.2475043028</v>
      </c>
      <c r="H35" s="68">
        <f t="shared" si="10"/>
        <v>2176528.0291466913</v>
      </c>
      <c r="I35" s="68">
        <f t="shared" si="10"/>
        <v>2647368.4363739071</v>
      </c>
      <c r="J35" s="68">
        <f t="shared" si="10"/>
        <v>3148829.2648721524</v>
      </c>
      <c r="K35" s="68">
        <f t="shared" si="10"/>
        <v>3672629.0894370931</v>
      </c>
    </row>
    <row r="36" spans="1:11" x14ac:dyDescent="0.6">
      <c r="A36" s="26"/>
      <c r="B36" s="27" t="s">
        <v>132</v>
      </c>
      <c r="C36" s="13">
        <f>C34/C35</f>
        <v>6.5516102010186081</v>
      </c>
      <c r="D36" s="13">
        <f t="shared" ref="D36:K36" si="11">D34/D35</f>
        <v>3.7452707679929333</v>
      </c>
      <c r="E36" s="14">
        <f t="shared" si="11"/>
        <v>2.2462054835939256</v>
      </c>
      <c r="F36" s="14">
        <f t="shared" si="11"/>
        <v>1.3676952642598772</v>
      </c>
      <c r="G36" s="14">
        <f t="shared" si="11"/>
        <v>0.81721879000579645</v>
      </c>
      <c r="H36" s="14">
        <f t="shared" si="11"/>
        <v>0.44972825561539442</v>
      </c>
      <c r="I36" s="14">
        <f t="shared" si="11"/>
        <v>0.20208747397955229</v>
      </c>
      <c r="J36" s="14">
        <f t="shared" si="11"/>
        <v>0.16990441684735863</v>
      </c>
      <c r="K36" s="14">
        <f t="shared" si="11"/>
        <v>0.14567221109769074</v>
      </c>
    </row>
    <row r="37" spans="1:11" x14ac:dyDescent="0.6">
      <c r="A37" s="26"/>
      <c r="B37" s="66" t="s">
        <v>145</v>
      </c>
      <c r="C37" s="13"/>
      <c r="D37" s="13"/>
      <c r="E37" s="14"/>
      <c r="F37" s="14">
        <f>AVERAGE(C36:K36)</f>
        <v>1.7439325404901265</v>
      </c>
      <c r="G37" s="14"/>
      <c r="H37" s="14"/>
      <c r="I37" s="68"/>
      <c r="J37" s="68"/>
      <c r="K37" s="68"/>
    </row>
    <row r="38" spans="1:11" x14ac:dyDescent="0.6">
      <c r="A38" s="26"/>
      <c r="B38" s="27"/>
      <c r="C38" s="13"/>
      <c r="D38" s="13"/>
      <c r="E38" s="14"/>
      <c r="F38" s="14"/>
      <c r="G38" s="14"/>
      <c r="H38" s="14"/>
      <c r="I38" s="68"/>
      <c r="J38" s="68"/>
      <c r="K38" s="68"/>
    </row>
    <row r="39" spans="1:11" x14ac:dyDescent="0.6">
      <c r="A39" s="77"/>
      <c r="B39" s="78" t="s">
        <v>146</v>
      </c>
      <c r="C39" s="79"/>
      <c r="D39" s="79"/>
      <c r="E39" s="80"/>
      <c r="F39" s="80"/>
      <c r="G39" s="80"/>
      <c r="H39" s="80"/>
      <c r="I39" s="81"/>
      <c r="J39" s="81"/>
      <c r="K39" s="81"/>
    </row>
    <row r="40" spans="1:11" x14ac:dyDescent="0.6">
      <c r="A40" s="26"/>
      <c r="B40" s="66" t="s">
        <v>147</v>
      </c>
      <c r="C40" s="64">
        <f t="shared" ref="C40:K40" si="12">C11</f>
        <v>2804249.9999999995</v>
      </c>
      <c r="D40" s="64">
        <f t="shared" si="12"/>
        <v>2455612.4999999995</v>
      </c>
      <c r="E40" s="64">
        <f t="shared" si="12"/>
        <v>2152070.6249999995</v>
      </c>
      <c r="F40" s="64">
        <f t="shared" si="12"/>
        <v>1887580.0312499995</v>
      </c>
      <c r="G40" s="64">
        <f t="shared" si="12"/>
        <v>1656931.0265624996</v>
      </c>
      <c r="H40" s="64">
        <f t="shared" si="12"/>
        <v>1455630.5725781247</v>
      </c>
      <c r="I40" s="64">
        <f t="shared" si="12"/>
        <v>1279801.266691406</v>
      </c>
      <c r="J40" s="64">
        <f t="shared" si="12"/>
        <v>1126094.8286876951</v>
      </c>
      <c r="K40" s="64">
        <f t="shared" si="12"/>
        <v>991617.98118454078</v>
      </c>
    </row>
    <row r="41" spans="1:11" x14ac:dyDescent="0.6">
      <c r="A41" s="26"/>
      <c r="B41" s="66" t="s">
        <v>130</v>
      </c>
      <c r="C41" s="64">
        <f t="shared" ref="C41:K41" si="13">C22+C23</f>
        <v>3198076.923076923</v>
      </c>
      <c r="D41" s="64">
        <f t="shared" si="13"/>
        <v>2754230.7692307695</v>
      </c>
      <c r="E41" s="64">
        <f t="shared" si="13"/>
        <v>2310384.6153846155</v>
      </c>
      <c r="F41" s="64">
        <f t="shared" si="13"/>
        <v>1866538.4615384615</v>
      </c>
      <c r="G41" s="64">
        <f t="shared" si="13"/>
        <v>1422692.3076923077</v>
      </c>
      <c r="H41" s="64">
        <f t="shared" si="13"/>
        <v>978846.15384615387</v>
      </c>
      <c r="I41" s="64">
        <f t="shared" si="13"/>
        <v>535000</v>
      </c>
      <c r="J41" s="64">
        <f t="shared" si="13"/>
        <v>535000</v>
      </c>
      <c r="K41" s="64">
        <f t="shared" si="13"/>
        <v>535000</v>
      </c>
    </row>
    <row r="42" spans="1:11" x14ac:dyDescent="0.6">
      <c r="A42" s="26"/>
      <c r="B42" s="66" t="s">
        <v>141</v>
      </c>
      <c r="C42" s="13">
        <f>C40/C41</f>
        <v>0.87685508117859279</v>
      </c>
      <c r="D42" s="13">
        <f t="shared" ref="D42:K42" si="14">D40/D41</f>
        <v>0.8915783410138246</v>
      </c>
      <c r="E42" s="13">
        <f t="shared" si="14"/>
        <v>0.93147721408356887</v>
      </c>
      <c r="F42" s="13">
        <f t="shared" si="14"/>
        <v>1.0112730437358333</v>
      </c>
      <c r="G42" s="13">
        <f t="shared" si="14"/>
        <v>1.1646446793896996</v>
      </c>
      <c r="H42" s="13">
        <f t="shared" si="14"/>
        <v>1.4870882077418954</v>
      </c>
      <c r="I42" s="13">
        <f t="shared" si="14"/>
        <v>2.3921519003577685</v>
      </c>
      <c r="J42" s="13">
        <f t="shared" si="14"/>
        <v>2.1048501470798038</v>
      </c>
      <c r="K42" s="13">
        <f t="shared" si="14"/>
        <v>1.8534915536159642</v>
      </c>
    </row>
    <row r="43" spans="1:11" x14ac:dyDescent="0.6">
      <c r="A43" s="26"/>
      <c r="B43" s="66"/>
      <c r="C43" s="13"/>
      <c r="D43" s="13"/>
      <c r="E43" s="14"/>
      <c r="F43" s="14">
        <f>AVERAGE(C42:K42)</f>
        <v>1.412601129799661</v>
      </c>
      <c r="G43" s="14"/>
      <c r="H43" s="14"/>
      <c r="I43" s="14"/>
      <c r="J43" s="14"/>
      <c r="K43" s="14"/>
    </row>
    <row r="44" spans="1:11" x14ac:dyDescent="0.6">
      <c r="A44" s="26"/>
      <c r="B44" s="27"/>
      <c r="C44" s="13"/>
      <c r="D44" s="13"/>
      <c r="E44" s="14"/>
      <c r="F44" s="14"/>
      <c r="G44" s="14"/>
      <c r="H44" s="14"/>
      <c r="I44" s="68"/>
      <c r="J44" s="68"/>
      <c r="K44" s="68"/>
    </row>
    <row r="45" spans="1:11" x14ac:dyDescent="0.6">
      <c r="A45" s="77"/>
      <c r="B45" s="78" t="s">
        <v>138</v>
      </c>
      <c r="C45" s="79"/>
      <c r="D45" s="79"/>
      <c r="E45" s="80"/>
      <c r="F45" s="80"/>
      <c r="G45" s="80"/>
      <c r="H45" s="80"/>
      <c r="I45" s="81"/>
      <c r="J45" s="81"/>
      <c r="K45" s="81"/>
    </row>
    <row r="46" spans="1:11" x14ac:dyDescent="0.6">
      <c r="A46" s="26"/>
      <c r="B46" s="27" t="s">
        <v>139</v>
      </c>
      <c r="C46" s="67">
        <f>'Ann 4'!C29</f>
        <v>224935.57692307694</v>
      </c>
      <c r="D46" s="67">
        <f>'Ann 4'!D29</f>
        <v>203298.07692307691</v>
      </c>
      <c r="E46" s="67">
        <f>'Ann 4'!E29</f>
        <v>176667.30769230769</v>
      </c>
      <c r="F46" s="67">
        <f>'Ann 4'!F29</f>
        <v>150036.53846153844</v>
      </c>
      <c r="G46" s="67">
        <f>'Ann 4'!G29</f>
        <v>123405.76923076923</v>
      </c>
      <c r="H46" s="67">
        <f>'Ann 4'!H29</f>
        <v>96775</v>
      </c>
      <c r="I46" s="67">
        <f>'Ann 4'!I29</f>
        <v>70144.230769230766</v>
      </c>
      <c r="J46" s="67">
        <f>'Ann 4'!J29</f>
        <v>53500</v>
      </c>
      <c r="K46" s="67">
        <f>'Ann 4'!K29</f>
        <v>53500</v>
      </c>
    </row>
    <row r="47" spans="1:11" x14ac:dyDescent="0.6">
      <c r="A47" s="26"/>
      <c r="B47" s="27" t="s">
        <v>142</v>
      </c>
      <c r="C47" s="67">
        <f>(SUM('Ann 13'!D9:D12)*100000)+('Ann 1'!$C$25*100000)</f>
        <v>756923.07692307699</v>
      </c>
      <c r="D47" s="67">
        <f>(SUM('Ann 13'!D13:D16)*100000)+('Ann 1'!$C$25*100000)</f>
        <v>978846.15384615387</v>
      </c>
      <c r="E47" s="67">
        <f>(SUM('Ann 13'!D17:D20)*100000)+('Ann 1'!$C$25*100000)</f>
        <v>978846.15384615387</v>
      </c>
      <c r="F47" s="67">
        <f>(SUM('Ann 13'!D21:D24)*100000)+('Ann 1'!$C$25*100000)</f>
        <v>978846.15384615387</v>
      </c>
      <c r="G47" s="67">
        <f>(SUM('Ann 13'!D25:D28)*100000)+('Ann 1'!$C$25*100000)</f>
        <v>978846.15384615387</v>
      </c>
      <c r="H47" s="67">
        <f>(SUM('Ann 13'!D29:D32)*100000)+('Ann 1'!$C$25*100000)</f>
        <v>978846.15384615387</v>
      </c>
      <c r="I47" s="67">
        <f>(SUM('Ann 13'!D33:D36)*100000)+('Ann 1'!$C$25*100000)</f>
        <v>978846.15384615387</v>
      </c>
      <c r="J47" s="67">
        <f>(SUM('Ann 13'!D37:D37)*100000)+('Ann 1'!$C$25*100000)</f>
        <v>535000</v>
      </c>
      <c r="K47" s="67">
        <f>(SUM('Ann 13'!D38:D39)*100000)+('Ann 1'!$C$25*100000)</f>
        <v>535000</v>
      </c>
    </row>
    <row r="48" spans="1:11" x14ac:dyDescent="0.6">
      <c r="A48" s="26"/>
      <c r="B48" s="27" t="s">
        <v>286</v>
      </c>
      <c r="C48" s="67">
        <f>SUM(C46:C47)</f>
        <v>981858.65384615399</v>
      </c>
      <c r="D48" s="67">
        <f t="shared" ref="D48:K48" si="15">SUM(D46:D47)</f>
        <v>1182144.2307692308</v>
      </c>
      <c r="E48" s="70">
        <f t="shared" si="15"/>
        <v>1155513.4615384615</v>
      </c>
      <c r="F48" s="70">
        <f t="shared" si="15"/>
        <v>1128882.6923076923</v>
      </c>
      <c r="G48" s="70">
        <f t="shared" si="15"/>
        <v>1102251.923076923</v>
      </c>
      <c r="H48" s="70">
        <f t="shared" si="15"/>
        <v>1075621.153846154</v>
      </c>
      <c r="I48" s="70">
        <f t="shared" si="15"/>
        <v>1048990.3846153847</v>
      </c>
      <c r="J48" s="70">
        <f t="shared" si="15"/>
        <v>588500</v>
      </c>
      <c r="K48" s="70">
        <f t="shared" si="15"/>
        <v>588500</v>
      </c>
    </row>
    <row r="49" spans="1:11" x14ac:dyDescent="0.6">
      <c r="A49" s="26"/>
      <c r="B49" s="27" t="s">
        <v>140</v>
      </c>
      <c r="C49" s="67">
        <f>'Ann 4'!C24</f>
        <v>1483800</v>
      </c>
      <c r="D49" s="67">
        <f>'Ann 4'!D24</f>
        <v>2318028</v>
      </c>
      <c r="E49" s="70">
        <f>'Ann 4'!E24</f>
        <v>2574375.5100000054</v>
      </c>
      <c r="F49" s="70">
        <f>'Ann 4'!F24</f>
        <v>2815673.3007000014</v>
      </c>
      <c r="G49" s="70">
        <f>'Ann 4'!G24</f>
        <v>3040930.0569989979</v>
      </c>
      <c r="H49" s="70">
        <f>'Ann 4'!H24</f>
        <v>3409738.1800014377</v>
      </c>
      <c r="I49" s="70">
        <f>'Ann 4'!I24</f>
        <v>3609119.3025646359</v>
      </c>
      <c r="J49" s="70">
        <f>'Ann 4'!J24</f>
        <v>3789069.4987054616</v>
      </c>
      <c r="K49" s="70">
        <f>'Ann 4'!K24</f>
        <v>3929404.16582416</v>
      </c>
    </row>
    <row r="50" spans="1:11" x14ac:dyDescent="0.6">
      <c r="A50" s="72"/>
      <c r="B50" s="73" t="s">
        <v>132</v>
      </c>
      <c r="C50" s="74">
        <f>C49/C48</f>
        <v>1.5112154831936679</v>
      </c>
      <c r="D50" s="74">
        <f t="shared" ref="D50:K50" si="16">D49/D48</f>
        <v>1.9608673287621092</v>
      </c>
      <c r="E50" s="75">
        <f t="shared" si="16"/>
        <v>2.2279061176599861</v>
      </c>
      <c r="F50" s="75">
        <f t="shared" si="16"/>
        <v>2.494212480965694</v>
      </c>
      <c r="G50" s="75">
        <f t="shared" si="16"/>
        <v>2.7588339773636124</v>
      </c>
      <c r="H50" s="75">
        <f t="shared" si="16"/>
        <v>3.1700177779221441</v>
      </c>
      <c r="I50" s="75">
        <f t="shared" si="16"/>
        <v>3.4405647139348465</v>
      </c>
      <c r="J50" s="75">
        <f t="shared" si="16"/>
        <v>6.4385208134332395</v>
      </c>
      <c r="K50" s="75">
        <f t="shared" si="16"/>
        <v>6.6769824398031608</v>
      </c>
    </row>
    <row r="51" spans="1:11" x14ac:dyDescent="0.6">
      <c r="A51" s="66"/>
      <c r="B51" s="66" t="s">
        <v>145</v>
      </c>
      <c r="C51" s="66"/>
      <c r="D51" s="66"/>
      <c r="E51" s="66"/>
      <c r="F51" s="66">
        <f>AVERAGE(C50:K50)</f>
        <v>3.4087912370042734</v>
      </c>
      <c r="G51" s="66"/>
      <c r="H51" s="66"/>
      <c r="I51" s="66"/>
      <c r="J51" s="66"/>
      <c r="K51" s="66"/>
    </row>
    <row r="52" spans="1:11" x14ac:dyDescent="0.6">
      <c r="I52" s="55"/>
      <c r="J52" s="55"/>
      <c r="K52" s="55"/>
    </row>
    <row r="54" spans="1:11" x14ac:dyDescent="0.6">
      <c r="A54" s="6" t="s">
        <v>258</v>
      </c>
    </row>
    <row r="55" spans="1:11" x14ac:dyDescent="0.6">
      <c r="A55" s="6" t="s">
        <v>269</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215</v>
      </c>
    </row>
    <row r="3" spans="1:3" x14ac:dyDescent="0.35">
      <c r="A3" s="1" t="s">
        <v>218</v>
      </c>
    </row>
    <row r="5" spans="1:3" x14ac:dyDescent="0.35">
      <c r="A5" s="2" t="s">
        <v>216</v>
      </c>
    </row>
    <row r="6" spans="1:3" x14ac:dyDescent="0.35">
      <c r="A6" s="3" t="s">
        <v>224</v>
      </c>
    </row>
    <row r="7" spans="1:3" x14ac:dyDescent="0.35">
      <c r="A7" t="s">
        <v>217</v>
      </c>
      <c r="B7">
        <v>5</v>
      </c>
      <c r="C7" t="s">
        <v>221</v>
      </c>
    </row>
    <row r="8" spans="1:3" x14ac:dyDescent="0.35">
      <c r="A8" t="s">
        <v>219</v>
      </c>
      <c r="B8">
        <v>30</v>
      </c>
      <c r="C8" t="s">
        <v>222</v>
      </c>
    </row>
    <row r="9" spans="1:3" x14ac:dyDescent="0.35">
      <c r="A9" t="s">
        <v>220</v>
      </c>
      <c r="B9">
        <f>B8*3000*20/B7</f>
        <v>360000</v>
      </c>
      <c r="C9" t="s">
        <v>223</v>
      </c>
    </row>
    <row r="11" spans="1:3" x14ac:dyDescent="0.35">
      <c r="A11" s="3" t="s">
        <v>225</v>
      </c>
    </row>
    <row r="12" spans="1:3" x14ac:dyDescent="0.35">
      <c r="A12" s="3" t="s">
        <v>217</v>
      </c>
      <c r="B12">
        <v>0.5</v>
      </c>
      <c r="C12" t="s">
        <v>226</v>
      </c>
    </row>
    <row r="13" spans="1:3" x14ac:dyDescent="0.35">
      <c r="A13" s="3" t="s">
        <v>227</v>
      </c>
      <c r="B13">
        <f>B12*3000*30</f>
        <v>45000</v>
      </c>
      <c r="C13" t="s">
        <v>228</v>
      </c>
    </row>
    <row r="15" spans="1:3" x14ac:dyDescent="0.35">
      <c r="A15" t="s">
        <v>229</v>
      </c>
      <c r="B15">
        <f>B13+B9</f>
        <v>405000</v>
      </c>
    </row>
    <row r="16" spans="1:3" x14ac:dyDescent="0.35">
      <c r="A16" t="s">
        <v>230</v>
      </c>
      <c r="B16">
        <v>75</v>
      </c>
    </row>
    <row r="17" spans="1:2" x14ac:dyDescent="0.35">
      <c r="A17" t="s">
        <v>231</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8"/>
  <sheetViews>
    <sheetView workbookViewId="0">
      <selection activeCell="A11" sqref="A11:D11"/>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283</v>
      </c>
    </row>
    <row r="3" spans="1:5" x14ac:dyDescent="0.6">
      <c r="A3" s="82" t="s">
        <v>149</v>
      </c>
    </row>
    <row r="5" spans="1:5" x14ac:dyDescent="0.6">
      <c r="A5" s="10" t="s">
        <v>51</v>
      </c>
      <c r="B5" s="10" t="s">
        <v>52</v>
      </c>
      <c r="C5" s="10" t="s">
        <v>53</v>
      </c>
      <c r="D5" s="10" t="s">
        <v>54</v>
      </c>
      <c r="E5" s="10" t="s">
        <v>212</v>
      </c>
    </row>
    <row r="6" spans="1:5" x14ac:dyDescent="0.6">
      <c r="A6" s="57" t="s">
        <v>55</v>
      </c>
      <c r="B6" s="34" t="s">
        <v>242</v>
      </c>
      <c r="C6" s="34">
        <v>1</v>
      </c>
      <c r="D6" s="56">
        <v>22000</v>
      </c>
      <c r="E6" s="56">
        <f>D6*C6*12</f>
        <v>264000</v>
      </c>
    </row>
    <row r="7" spans="1:5" x14ac:dyDescent="0.6">
      <c r="A7" s="34" t="s">
        <v>56</v>
      </c>
      <c r="B7" s="34" t="s">
        <v>243</v>
      </c>
      <c r="C7" s="34">
        <v>4</v>
      </c>
      <c r="D7" s="56">
        <v>10000</v>
      </c>
      <c r="E7" s="56">
        <f>D7*C7*12</f>
        <v>480000</v>
      </c>
    </row>
    <row r="8" spans="1:5" x14ac:dyDescent="0.6">
      <c r="A8" s="34" t="s">
        <v>59</v>
      </c>
      <c r="B8" s="34" t="s">
        <v>277</v>
      </c>
      <c r="C8" s="34">
        <v>1</v>
      </c>
      <c r="D8" s="56">
        <v>15000</v>
      </c>
      <c r="E8" s="56">
        <f>D8*C8*12</f>
        <v>180000</v>
      </c>
    </row>
    <row r="9" spans="1:5" x14ac:dyDescent="0.6">
      <c r="A9" s="34" t="s">
        <v>276</v>
      </c>
      <c r="B9" s="34" t="s">
        <v>244</v>
      </c>
      <c r="C9" s="34">
        <v>4</v>
      </c>
      <c r="D9" s="56">
        <v>12000</v>
      </c>
      <c r="E9" s="56">
        <f>D9*C9*12</f>
        <v>576000</v>
      </c>
    </row>
    <row r="10" spans="1:5" x14ac:dyDescent="0.6">
      <c r="A10" s="34" t="s">
        <v>291</v>
      </c>
      <c r="B10" s="34" t="s">
        <v>292</v>
      </c>
      <c r="C10" s="34">
        <v>2</v>
      </c>
      <c r="D10" s="56">
        <v>10500</v>
      </c>
      <c r="E10" s="56">
        <f>D10*C10*12</f>
        <v>252000</v>
      </c>
    </row>
    <row r="11" spans="1:5" x14ac:dyDescent="0.6">
      <c r="A11" s="142" t="s">
        <v>8</v>
      </c>
      <c r="B11" s="142"/>
      <c r="C11" s="142"/>
      <c r="D11" s="142"/>
      <c r="E11" s="83">
        <f>SUM(E6:E10)</f>
        <v>1752000</v>
      </c>
    </row>
    <row r="12" spans="1:5" x14ac:dyDescent="0.6">
      <c r="A12" s="37"/>
      <c r="B12" s="84"/>
      <c r="C12" s="84"/>
      <c r="D12" s="84"/>
      <c r="E12" s="63"/>
    </row>
    <row r="13" spans="1:5" x14ac:dyDescent="0.6">
      <c r="A13" s="72" t="s">
        <v>281</v>
      </c>
      <c r="B13" s="73"/>
      <c r="C13" s="73"/>
      <c r="D13" s="73"/>
      <c r="E13" s="85">
        <f>E11*30%</f>
        <v>525600</v>
      </c>
    </row>
    <row r="14" spans="1:5" x14ac:dyDescent="0.6">
      <c r="A14" s="31" t="s">
        <v>8</v>
      </c>
      <c r="B14" s="32"/>
      <c r="C14" s="32"/>
      <c r="D14" s="32"/>
      <c r="E14" s="86">
        <f>SUM(E11:E13)</f>
        <v>2277600</v>
      </c>
    </row>
    <row r="16" spans="1:5" x14ac:dyDescent="0.6">
      <c r="A16" s="6" t="s">
        <v>57</v>
      </c>
      <c r="E16" s="55">
        <f>E14</f>
        <v>2277600</v>
      </c>
    </row>
    <row r="17" spans="1:5" x14ac:dyDescent="0.6">
      <c r="A17" s="6" t="s">
        <v>58</v>
      </c>
      <c r="E17" s="87">
        <v>7.0000000000000007E-2</v>
      </c>
    </row>
    <row r="18" spans="1:5" x14ac:dyDescent="0.6">
      <c r="A18" s="6" t="s">
        <v>151</v>
      </c>
      <c r="E18" s="6">
        <f>SUM(C6:C10)</f>
        <v>12</v>
      </c>
    </row>
  </sheetData>
  <mergeCells count="1">
    <mergeCell ref="A11:D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E7" sqref="E7"/>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61</v>
      </c>
    </row>
    <row r="3" spans="1:6" x14ac:dyDescent="0.6">
      <c r="A3" s="82" t="s">
        <v>60</v>
      </c>
    </row>
    <row r="5" spans="1:6" x14ac:dyDescent="0.6">
      <c r="A5" s="10" t="s">
        <v>24</v>
      </c>
      <c r="B5" s="10" t="s">
        <v>3</v>
      </c>
      <c r="C5" s="10" t="s">
        <v>290</v>
      </c>
      <c r="D5" s="10" t="s">
        <v>11</v>
      </c>
      <c r="E5" s="10" t="s">
        <v>64</v>
      </c>
      <c r="F5" s="10" t="s">
        <v>65</v>
      </c>
    </row>
    <row r="6" spans="1:6" x14ac:dyDescent="0.6">
      <c r="A6" s="34" t="s">
        <v>55</v>
      </c>
      <c r="B6" s="34" t="s">
        <v>13</v>
      </c>
      <c r="C6" s="56">
        <f>'Ann 1'!C15*100000</f>
        <v>1600000</v>
      </c>
      <c r="D6" s="56">
        <f>('Ann 1'!C20)*100000</f>
        <v>1605000</v>
      </c>
      <c r="E6" s="56">
        <v>0</v>
      </c>
      <c r="F6" s="88">
        <f>SUM(C6:E6)/100000</f>
        <v>32.049999999999997</v>
      </c>
    </row>
    <row r="7" spans="1:6" x14ac:dyDescent="0.6">
      <c r="A7" s="34" t="s">
        <v>56</v>
      </c>
      <c r="B7" s="34" t="s">
        <v>62</v>
      </c>
      <c r="C7" s="56">
        <v>0</v>
      </c>
      <c r="D7" s="56">
        <v>0</v>
      </c>
      <c r="E7" s="56">
        <v>0</v>
      </c>
      <c r="F7" s="89">
        <f>SUM(C7:E7)/100000</f>
        <v>0</v>
      </c>
    </row>
    <row r="8" spans="1:6" x14ac:dyDescent="0.6">
      <c r="A8" s="34" t="s">
        <v>59</v>
      </c>
      <c r="B8" s="34" t="s">
        <v>63</v>
      </c>
      <c r="C8" s="56">
        <v>0</v>
      </c>
      <c r="D8" s="56">
        <v>0</v>
      </c>
      <c r="E8" s="56">
        <v>0</v>
      </c>
      <c r="F8" s="89">
        <f>SUM(C8:E8)/100000</f>
        <v>0</v>
      </c>
    </row>
    <row r="9" spans="1:6" x14ac:dyDescent="0.6">
      <c r="A9" s="34"/>
      <c r="B9" s="142" t="s">
        <v>8</v>
      </c>
      <c r="C9" s="142"/>
      <c r="D9" s="142"/>
      <c r="E9" s="142"/>
      <c r="F9" s="88">
        <f>SUM(F6:F8)</f>
        <v>32.049999999999997</v>
      </c>
    </row>
    <row r="11" spans="1:6" s="5" customFormat="1" x14ac:dyDescent="0.6">
      <c r="A11" s="127"/>
      <c r="B11" s="127" t="s">
        <v>66</v>
      </c>
      <c r="C11" s="128">
        <v>0.1</v>
      </c>
      <c r="D11" s="128">
        <v>0.15</v>
      </c>
      <c r="E11" s="128">
        <v>0.1</v>
      </c>
      <c r="F11" s="127" t="s">
        <v>166</v>
      </c>
    </row>
    <row r="12" spans="1:6" x14ac:dyDescent="0.6">
      <c r="A12" s="90" t="s">
        <v>67</v>
      </c>
      <c r="B12" s="91">
        <v>1</v>
      </c>
      <c r="C12" s="92">
        <f>C11*C6</f>
        <v>160000</v>
      </c>
      <c r="D12" s="92">
        <f>D11*D6</f>
        <v>240750</v>
      </c>
      <c r="E12" s="92">
        <f>E11*(E6+E8)</f>
        <v>0</v>
      </c>
      <c r="F12" s="92">
        <f>SUM(C12:E12)</f>
        <v>400750</v>
      </c>
    </row>
    <row r="13" spans="1:6" x14ac:dyDescent="0.6">
      <c r="A13" s="90" t="s">
        <v>67</v>
      </c>
      <c r="B13" s="91">
        <v>2</v>
      </c>
      <c r="C13" s="92">
        <f>(C6-C12)*C11</f>
        <v>144000</v>
      </c>
      <c r="D13" s="92">
        <f>(D6-D12)*D11</f>
        <v>204637.5</v>
      </c>
      <c r="E13" s="92">
        <f>(E6+E8-E12)*E11</f>
        <v>0</v>
      </c>
      <c r="F13" s="92">
        <f>SUM(C13:E13)</f>
        <v>348637.5</v>
      </c>
    </row>
    <row r="14" spans="1:6" x14ac:dyDescent="0.6">
      <c r="A14" s="90" t="s">
        <v>67</v>
      </c>
      <c r="B14" s="91">
        <v>3</v>
      </c>
      <c r="C14" s="92">
        <f>(C6-C12-C13)*C11</f>
        <v>129600</v>
      </c>
      <c r="D14" s="92">
        <f>(D6-D12-D13)*D11</f>
        <v>173941.875</v>
      </c>
      <c r="E14" s="92">
        <f>(E6+E8-E12-E13)*E11</f>
        <v>0</v>
      </c>
      <c r="F14" s="92">
        <f t="shared" ref="F14:F20" si="0">SUM(C14:E14)</f>
        <v>303541.875</v>
      </c>
    </row>
    <row r="15" spans="1:6" x14ac:dyDescent="0.6">
      <c r="A15" s="90" t="s">
        <v>67</v>
      </c>
      <c r="B15" s="91">
        <v>4</v>
      </c>
      <c r="C15" s="92">
        <f>(C6-C12-C13-C14)*C11</f>
        <v>116640</v>
      </c>
      <c r="D15" s="92">
        <f>(D6-D12-D13-D14)*D11</f>
        <v>147850.59375</v>
      </c>
      <c r="E15" s="92">
        <f>(E6+E8-E12-E13-E14)*E11</f>
        <v>0</v>
      </c>
      <c r="F15" s="92">
        <f t="shared" si="0"/>
        <v>264490.59375</v>
      </c>
    </row>
    <row r="16" spans="1:6" x14ac:dyDescent="0.6">
      <c r="A16" s="90" t="s">
        <v>67</v>
      </c>
      <c r="B16" s="91">
        <v>5</v>
      </c>
      <c r="C16" s="92">
        <f>(C6-C12-C13-C14-C15)*C11</f>
        <v>104976</v>
      </c>
      <c r="D16" s="92">
        <f>(D6-D12-D13-D14-D15)*D11</f>
        <v>125673.0046875</v>
      </c>
      <c r="E16" s="92">
        <f>(E6+E8-E12-E13-E14-E15)*E11</f>
        <v>0</v>
      </c>
      <c r="F16" s="92">
        <f t="shared" si="0"/>
        <v>230649.00468750001</v>
      </c>
    </row>
    <row r="17" spans="1:6" x14ac:dyDescent="0.6">
      <c r="A17" s="90" t="s">
        <v>67</v>
      </c>
      <c r="B17" s="91">
        <v>6</v>
      </c>
      <c r="C17" s="92">
        <f>(C6-C12-C13-C14-C15-C16)*C11</f>
        <v>94478.400000000009</v>
      </c>
      <c r="D17" s="92">
        <f>(D6-D12-D13-D14-D15-D16)*D11</f>
        <v>106822.053984375</v>
      </c>
      <c r="E17" s="92">
        <f>(E6+E8-E12-E13-E14-E15-E16)*E11</f>
        <v>0</v>
      </c>
      <c r="F17" s="92">
        <f t="shared" si="0"/>
        <v>201300.453984375</v>
      </c>
    </row>
    <row r="18" spans="1:6" x14ac:dyDescent="0.6">
      <c r="A18" s="90" t="s">
        <v>67</v>
      </c>
      <c r="B18" s="91">
        <v>7</v>
      </c>
      <c r="C18" s="92">
        <f>(C6-C12-C13-C14-C15-C16-C17)*C11</f>
        <v>85030.56</v>
      </c>
      <c r="D18" s="92">
        <f>(D6-D12-D13-D14-D15-D16-D17)*D11</f>
        <v>90798.745886718752</v>
      </c>
      <c r="E18" s="92">
        <f>(E6+E8-E12-E13-E14-E15-E16-E17)*E11</f>
        <v>0</v>
      </c>
      <c r="F18" s="92">
        <f t="shared" si="0"/>
        <v>175829.30588671874</v>
      </c>
    </row>
    <row r="19" spans="1:6" x14ac:dyDescent="0.6">
      <c r="A19" s="90" t="s">
        <v>67</v>
      </c>
      <c r="B19" s="91">
        <v>8</v>
      </c>
      <c r="C19" s="92">
        <f>(C6-C12-C13-C14-C15-C16-C17-C18)*C11</f>
        <v>76527.504000000001</v>
      </c>
      <c r="D19" s="92">
        <f>(D6-D12-D13-D14-D15-D16-D17-D18)*D11</f>
        <v>77178.93400371095</v>
      </c>
      <c r="E19" s="92">
        <f>(E6+E8-E12-E13-E14-E15-E16-E17-E18)*E11</f>
        <v>0</v>
      </c>
      <c r="F19" s="92">
        <f t="shared" si="0"/>
        <v>153706.43800371094</v>
      </c>
    </row>
    <row r="20" spans="1:6" x14ac:dyDescent="0.6">
      <c r="A20" s="90" t="s">
        <v>67</v>
      </c>
      <c r="B20" s="91">
        <v>9</v>
      </c>
      <c r="C20" s="92">
        <f>(C6-C12-C13-C14-C15-C16-C17-C18-C19)*C11</f>
        <v>68874.753600000011</v>
      </c>
      <c r="D20" s="92">
        <f>(D6-D12-D13-D14-D15-D16-D17-D18-D19)*D11</f>
        <v>65602.093903154295</v>
      </c>
      <c r="E20" s="92">
        <f>(E6+E8-E12-E13-E14-E15-E16-E17-E18-E19)*E11</f>
        <v>0</v>
      </c>
      <c r="F20" s="92">
        <f t="shared" si="0"/>
        <v>134476.84750315431</v>
      </c>
    </row>
    <row r="21" spans="1:6" x14ac:dyDescent="0.6">
      <c r="B21" s="25"/>
    </row>
    <row r="22" spans="1:6" x14ac:dyDescent="0.6">
      <c r="A22" s="93"/>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D9" sqref="D9"/>
    </sheetView>
  </sheetViews>
  <sheetFormatPr defaultRowHeight="17" x14ac:dyDescent="0.6"/>
  <cols>
    <col min="1" max="1" width="20.90625" style="6" customWidth="1"/>
    <col min="2" max="10" width="13.6328125" style="6" bestFit="1" customWidth="1"/>
    <col min="11" max="16384" width="8.7265625" style="6"/>
  </cols>
  <sheetData>
    <row r="1" spans="1:10" x14ac:dyDescent="0.6">
      <c r="A1" s="5" t="s">
        <v>102</v>
      </c>
    </row>
    <row r="3" spans="1:10" x14ac:dyDescent="0.6">
      <c r="A3" s="82" t="s">
        <v>103</v>
      </c>
    </row>
    <row r="5" spans="1:10" x14ac:dyDescent="0.6">
      <c r="A5" s="140" t="s">
        <v>3</v>
      </c>
      <c r="B5" s="140" t="s">
        <v>47</v>
      </c>
      <c r="C5" s="140"/>
      <c r="D5" s="140"/>
      <c r="E5" s="140"/>
      <c r="F5" s="140"/>
      <c r="G5" s="140"/>
      <c r="H5" s="140"/>
      <c r="I5" s="140"/>
      <c r="J5" s="140"/>
    </row>
    <row r="6" spans="1:10" x14ac:dyDescent="0.6">
      <c r="A6" s="140"/>
      <c r="B6" s="76" t="s">
        <v>38</v>
      </c>
      <c r="C6" s="76" t="s">
        <v>39</v>
      </c>
      <c r="D6" s="76" t="s">
        <v>40</v>
      </c>
      <c r="E6" s="76" t="s">
        <v>41</v>
      </c>
      <c r="F6" s="76" t="s">
        <v>42</v>
      </c>
      <c r="G6" s="76" t="s">
        <v>43</v>
      </c>
      <c r="H6" s="76" t="s">
        <v>44</v>
      </c>
      <c r="I6" s="76" t="s">
        <v>45</v>
      </c>
      <c r="J6" s="76" t="s">
        <v>46</v>
      </c>
    </row>
    <row r="7" spans="1:10" x14ac:dyDescent="0.6">
      <c r="A7" s="34" t="s">
        <v>104</v>
      </c>
      <c r="B7" s="56">
        <f>'Ann 4'!C31</f>
        <v>1258864.423076923</v>
      </c>
      <c r="C7" s="56">
        <f>'Ann 4'!D31</f>
        <v>2114729.923076923</v>
      </c>
      <c r="D7" s="56">
        <f>'Ann 4'!E31</f>
        <v>2397708.2023076979</v>
      </c>
      <c r="E7" s="56">
        <f>'Ann 4'!F31</f>
        <v>2665636.7622384629</v>
      </c>
      <c r="F7" s="56">
        <f>'Ann 4'!G31</f>
        <v>2917524.2877682289</v>
      </c>
      <c r="G7" s="56">
        <f>'Ann 4'!H31</f>
        <v>3312963.1800014377</v>
      </c>
      <c r="H7" s="56">
        <f>'Ann 4'!I31</f>
        <v>3538975.0717954049</v>
      </c>
      <c r="I7" s="56">
        <f>'Ann 4'!J31</f>
        <v>3735569.4987054616</v>
      </c>
      <c r="J7" s="56">
        <f>'Ann 4'!K31</f>
        <v>3875904.16582416</v>
      </c>
    </row>
    <row r="8" spans="1:10" x14ac:dyDescent="0.6">
      <c r="A8" s="34" t="s">
        <v>105</v>
      </c>
      <c r="B8" s="56">
        <v>0</v>
      </c>
      <c r="C8" s="56">
        <v>0</v>
      </c>
      <c r="D8" s="56">
        <v>0</v>
      </c>
      <c r="E8" s="56">
        <v>0</v>
      </c>
      <c r="F8" s="56">
        <v>0</v>
      </c>
      <c r="G8" s="56">
        <v>0</v>
      </c>
      <c r="H8" s="56">
        <v>0</v>
      </c>
      <c r="I8" s="56">
        <v>0</v>
      </c>
      <c r="J8" s="56">
        <v>0</v>
      </c>
    </row>
    <row r="9" spans="1:10" x14ac:dyDescent="0.6">
      <c r="A9" s="34" t="s">
        <v>106</v>
      </c>
      <c r="B9" s="56">
        <f>B7+B8</f>
        <v>1258864.423076923</v>
      </c>
      <c r="C9" s="56">
        <f t="shared" ref="C9:J9" si="0">C7+C8</f>
        <v>2114729.923076923</v>
      </c>
      <c r="D9" s="56">
        <f t="shared" si="0"/>
        <v>2397708.2023076979</v>
      </c>
      <c r="E9" s="56">
        <f t="shared" si="0"/>
        <v>2665636.7622384629</v>
      </c>
      <c r="F9" s="56">
        <f t="shared" si="0"/>
        <v>2917524.2877682289</v>
      </c>
      <c r="G9" s="56">
        <f t="shared" si="0"/>
        <v>3312963.1800014377</v>
      </c>
      <c r="H9" s="56">
        <f t="shared" si="0"/>
        <v>3538975.0717954049</v>
      </c>
      <c r="I9" s="56">
        <f t="shared" si="0"/>
        <v>3735569.4987054616</v>
      </c>
      <c r="J9" s="56">
        <f t="shared" si="0"/>
        <v>3875904.16582416</v>
      </c>
    </row>
    <row r="10" spans="1:10" x14ac:dyDescent="0.6">
      <c r="A10" s="34" t="s">
        <v>107</v>
      </c>
      <c r="B10" s="56">
        <f>SUM('Ann 9'!C12:E12)</f>
        <v>400750</v>
      </c>
      <c r="C10" s="56">
        <f>SUM('Ann 9'!C13:E13)</f>
        <v>348637.5</v>
      </c>
      <c r="D10" s="56">
        <f>SUM('Ann 9'!C14:E14)</f>
        <v>303541.875</v>
      </c>
      <c r="E10" s="56">
        <f>SUM('Ann 9'!C15:E15)</f>
        <v>264490.59375</v>
      </c>
      <c r="F10" s="56">
        <f>SUM('Ann 9'!C16:E16)</f>
        <v>230649.00468750001</v>
      </c>
      <c r="G10" s="56">
        <f>SUM('Ann 9'!C17:E17)</f>
        <v>201300.453984375</v>
      </c>
      <c r="H10" s="56">
        <f>SUM('Ann 9'!C18:E18)</f>
        <v>175829.30588671874</v>
      </c>
      <c r="I10" s="56">
        <f>SUM('Ann 9'!C19:E19)</f>
        <v>153706.43800371094</v>
      </c>
      <c r="J10" s="56">
        <f>SUM('Ann 9'!C20:E20)</f>
        <v>134476.84750315431</v>
      </c>
    </row>
    <row r="11" spans="1:10" x14ac:dyDescent="0.6">
      <c r="A11" s="34" t="s">
        <v>106</v>
      </c>
      <c r="B11" s="56">
        <f>B9-B10</f>
        <v>858114.42307692301</v>
      </c>
      <c r="C11" s="56">
        <f t="shared" ref="C11:J11" si="1">C9-C10</f>
        <v>1766092.423076923</v>
      </c>
      <c r="D11" s="56">
        <f t="shared" si="1"/>
        <v>2094166.3273076979</v>
      </c>
      <c r="E11" s="56">
        <f t="shared" si="1"/>
        <v>2401146.1684884629</v>
      </c>
      <c r="F11" s="56">
        <f t="shared" si="1"/>
        <v>2686875.2830807287</v>
      </c>
      <c r="G11" s="56">
        <f t="shared" si="1"/>
        <v>3111662.7260170626</v>
      </c>
      <c r="H11" s="56">
        <f t="shared" si="1"/>
        <v>3363145.765908686</v>
      </c>
      <c r="I11" s="56">
        <f t="shared" si="1"/>
        <v>3581863.0607017507</v>
      </c>
      <c r="J11" s="56">
        <f t="shared" si="1"/>
        <v>3741427.3183210054</v>
      </c>
    </row>
    <row r="12" spans="1:10" x14ac:dyDescent="0.6">
      <c r="A12" s="34" t="s">
        <v>108</v>
      </c>
      <c r="B12" s="94">
        <v>0</v>
      </c>
      <c r="C12" s="94">
        <v>0</v>
      </c>
      <c r="D12" s="94">
        <v>0</v>
      </c>
      <c r="E12" s="94">
        <v>0</v>
      </c>
      <c r="F12" s="94">
        <v>0</v>
      </c>
      <c r="G12" s="94">
        <v>0</v>
      </c>
      <c r="H12" s="94">
        <v>0</v>
      </c>
      <c r="I12" s="94">
        <v>0</v>
      </c>
      <c r="J12" s="94">
        <v>0</v>
      </c>
    </row>
    <row r="13" spans="1:10" x14ac:dyDescent="0.6">
      <c r="A13" s="34" t="s">
        <v>109</v>
      </c>
      <c r="B13" s="83">
        <f>B11</f>
        <v>858114.42307692301</v>
      </c>
      <c r="C13" s="83">
        <f t="shared" ref="C13:J13" si="2">C11</f>
        <v>1766092.423076923</v>
      </c>
      <c r="D13" s="83">
        <f t="shared" si="2"/>
        <v>2094166.3273076979</v>
      </c>
      <c r="E13" s="83">
        <f t="shared" si="2"/>
        <v>2401146.1684884629</v>
      </c>
      <c r="F13" s="83">
        <f t="shared" si="2"/>
        <v>2686875.2830807287</v>
      </c>
      <c r="G13" s="83">
        <f t="shared" si="2"/>
        <v>3111662.7260170626</v>
      </c>
      <c r="H13" s="83">
        <f t="shared" si="2"/>
        <v>3363145.765908686</v>
      </c>
      <c r="I13" s="83">
        <f t="shared" si="2"/>
        <v>3581863.0607017507</v>
      </c>
      <c r="J13" s="83">
        <f t="shared" si="2"/>
        <v>3741427.3183210054</v>
      </c>
    </row>
    <row r="14" spans="1:10" x14ac:dyDescent="0.6">
      <c r="A14" s="34" t="s">
        <v>110</v>
      </c>
      <c r="B14" s="83">
        <f>B13*30%</f>
        <v>257434.32692307688</v>
      </c>
      <c r="C14" s="83">
        <f t="shared" ref="C14:J14" si="3">C13*30%</f>
        <v>529827.7269230769</v>
      </c>
      <c r="D14" s="83">
        <f t="shared" si="3"/>
        <v>628249.89819230931</v>
      </c>
      <c r="E14" s="83">
        <f t="shared" si="3"/>
        <v>720343.85054653883</v>
      </c>
      <c r="F14" s="83">
        <f t="shared" si="3"/>
        <v>806062.58492421859</v>
      </c>
      <c r="G14" s="83">
        <f t="shared" si="3"/>
        <v>933498.81780511874</v>
      </c>
      <c r="H14" s="83">
        <f t="shared" si="3"/>
        <v>1008943.7297726057</v>
      </c>
      <c r="I14" s="83">
        <f t="shared" si="3"/>
        <v>1074558.9182105251</v>
      </c>
      <c r="J14" s="83">
        <f t="shared" si="3"/>
        <v>1122428.1954963016</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4"/>
  <sheetViews>
    <sheetView workbookViewId="0">
      <selection activeCell="D10" sqref="D10"/>
    </sheetView>
  </sheetViews>
  <sheetFormatPr defaultRowHeight="17" x14ac:dyDescent="0.6"/>
  <cols>
    <col min="1" max="1" width="8.7265625" style="6"/>
    <col min="2" max="2" width="26.7265625" style="6" bestFit="1" customWidth="1"/>
    <col min="3" max="3" width="14.6328125" style="6" bestFit="1" customWidth="1"/>
    <col min="4" max="4" width="13.54296875" style="6" bestFit="1" customWidth="1"/>
    <col min="5" max="5" width="13.63281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68</v>
      </c>
    </row>
    <row r="3" spans="1:7" x14ac:dyDescent="0.6">
      <c r="A3" s="96" t="s">
        <v>287</v>
      </c>
      <c r="B3" s="95"/>
      <c r="C3" s="95"/>
      <c r="D3" s="95"/>
      <c r="E3" s="95"/>
    </row>
    <row r="5" spans="1:7" x14ac:dyDescent="0.6">
      <c r="B5" s="6" t="s">
        <v>49</v>
      </c>
      <c r="E5" s="97">
        <f>'Ann 4'!C23/70%</f>
        <v>68734285.714285716</v>
      </c>
    </row>
    <row r="6" spans="1:7" x14ac:dyDescent="0.6">
      <c r="B6" s="6" t="s">
        <v>69</v>
      </c>
    </row>
    <row r="7" spans="1:7" x14ac:dyDescent="0.6">
      <c r="B7" s="98" t="s">
        <v>70</v>
      </c>
      <c r="D7" s="55">
        <f>E5*15%</f>
        <v>10310142.857142856</v>
      </c>
    </row>
    <row r="8" spans="1:7" x14ac:dyDescent="0.6">
      <c r="B8" s="98" t="s">
        <v>71</v>
      </c>
      <c r="D8" s="55">
        <f>'Ann 2'!C7*100000*10%</f>
        <v>53500</v>
      </c>
      <c r="E8" s="55"/>
    </row>
    <row r="9" spans="1:7" x14ac:dyDescent="0.6">
      <c r="B9" s="98" t="s">
        <v>74</v>
      </c>
      <c r="D9" s="55">
        <f>'Ann 4'!K43</f>
        <v>1654750.0970437503</v>
      </c>
      <c r="E9" s="55">
        <f>SUM(D7:D9)</f>
        <v>12018392.954186607</v>
      </c>
      <c r="G9" s="54"/>
    </row>
    <row r="10" spans="1:7" x14ac:dyDescent="0.6">
      <c r="B10" s="6" t="s">
        <v>72</v>
      </c>
      <c r="E10" s="55">
        <f>E5-E9</f>
        <v>56715892.760099113</v>
      </c>
    </row>
    <row r="11" spans="1:7" x14ac:dyDescent="0.6">
      <c r="B11" s="6" t="s">
        <v>239</v>
      </c>
    </row>
    <row r="12" spans="1:7" x14ac:dyDescent="0.6">
      <c r="B12" s="6" t="s">
        <v>73</v>
      </c>
      <c r="E12" s="55">
        <f>'Ann 8'!E14</f>
        <v>2277600</v>
      </c>
    </row>
    <row r="13" spans="1:7" x14ac:dyDescent="0.6">
      <c r="B13" s="6" t="s">
        <v>75</v>
      </c>
      <c r="E13" s="55">
        <f>'Ann 9'!F12</f>
        <v>400750</v>
      </c>
    </row>
    <row r="14" spans="1:7" x14ac:dyDescent="0.6">
      <c r="B14" s="6" t="s">
        <v>267</v>
      </c>
      <c r="E14" s="55">
        <v>210000</v>
      </c>
    </row>
    <row r="15" spans="1:7" x14ac:dyDescent="0.6">
      <c r="B15" s="6" t="s">
        <v>237</v>
      </c>
      <c r="E15" s="55">
        <v>150000</v>
      </c>
    </row>
    <row r="16" spans="1:7" x14ac:dyDescent="0.6">
      <c r="B16" s="6" t="s">
        <v>280</v>
      </c>
      <c r="E16" s="55">
        <f>'Ann 4'!C9</f>
        <v>64100</v>
      </c>
    </row>
    <row r="17" spans="2:5" x14ac:dyDescent="0.6">
      <c r="B17" s="6" t="s">
        <v>190</v>
      </c>
      <c r="E17" s="55">
        <f>SUM('Ann 13'!E9:E12)*100000</f>
        <v>171435.57692307694</v>
      </c>
    </row>
    <row r="18" spans="2:5" x14ac:dyDescent="0.6">
      <c r="B18" s="6" t="s">
        <v>76</v>
      </c>
      <c r="E18" s="55">
        <f>SUM(E12:E17)</f>
        <v>3273885.576923077</v>
      </c>
    </row>
    <row r="20" spans="2:5" x14ac:dyDescent="0.6">
      <c r="B20" s="10" t="s">
        <v>3</v>
      </c>
      <c r="C20" s="10" t="s">
        <v>240</v>
      </c>
    </row>
    <row r="21" spans="2:5" x14ac:dyDescent="0.6">
      <c r="B21" s="34" t="s">
        <v>77</v>
      </c>
      <c r="C21" s="34">
        <f>Budgets!C16</f>
        <v>150</v>
      </c>
    </row>
    <row r="22" spans="2:5" x14ac:dyDescent="0.6">
      <c r="B22" s="34" t="s">
        <v>262</v>
      </c>
      <c r="C22" s="34"/>
    </row>
    <row r="23" spans="2:5" x14ac:dyDescent="0.6">
      <c r="B23" s="34" t="s">
        <v>321</v>
      </c>
      <c r="C23" s="34">
        <f>Budgets!D16*1.05*1000/700</f>
        <v>114</v>
      </c>
    </row>
    <row r="24" spans="2:5" x14ac:dyDescent="0.6">
      <c r="B24" s="34" t="s">
        <v>263</v>
      </c>
      <c r="C24" s="92">
        <f>('Ann 4'!C43/70%)/Budgets!B16</f>
        <v>2.9629629629629628</v>
      </c>
    </row>
    <row r="25" spans="2:5" x14ac:dyDescent="0.6">
      <c r="B25" s="34" t="s">
        <v>264</v>
      </c>
      <c r="C25" s="34">
        <f>C23*15%</f>
        <v>17.099999999999998</v>
      </c>
    </row>
    <row r="26" spans="2:5" x14ac:dyDescent="0.6">
      <c r="B26" s="34" t="s">
        <v>293</v>
      </c>
      <c r="C26" s="34">
        <v>2</v>
      </c>
    </row>
    <row r="27" spans="2:5" x14ac:dyDescent="0.6">
      <c r="B27" s="34" t="s">
        <v>294</v>
      </c>
      <c r="C27" s="34">
        <v>1</v>
      </c>
    </row>
    <row r="28" spans="2:5" x14ac:dyDescent="0.6">
      <c r="B28" s="34" t="s">
        <v>265</v>
      </c>
      <c r="C28" s="92">
        <f>D8/Budgets!B12</f>
        <v>9.9074074074074078E-2</v>
      </c>
    </row>
    <row r="29" spans="2:5" x14ac:dyDescent="0.6">
      <c r="B29" s="34" t="s">
        <v>266</v>
      </c>
      <c r="C29" s="34">
        <f>C21-SUM(C23:C28)</f>
        <v>12.837962962962962</v>
      </c>
    </row>
    <row r="30" spans="2:5" x14ac:dyDescent="0.6">
      <c r="B30" s="34" t="s">
        <v>238</v>
      </c>
      <c r="C30" s="94">
        <f>E18/C29</f>
        <v>255015.96992981777</v>
      </c>
    </row>
    <row r="31" spans="2:5" x14ac:dyDescent="0.6">
      <c r="B31" s="34" t="s">
        <v>189</v>
      </c>
      <c r="C31" s="99">
        <f>C30/Budgets!B16</f>
        <v>0.47225179616632923</v>
      </c>
    </row>
    <row r="32" spans="2:5" x14ac:dyDescent="0.6">
      <c r="C32" s="29"/>
    </row>
    <row r="33" spans="1:5" ht="49" customHeight="1" x14ac:dyDescent="0.6">
      <c r="A33" s="143" t="s">
        <v>214</v>
      </c>
      <c r="B33" s="143"/>
      <c r="C33" s="143"/>
      <c r="D33" s="143"/>
      <c r="E33" s="143"/>
    </row>
    <row r="34" spans="1:5" ht="86.5" customHeight="1" x14ac:dyDescent="0.6">
      <c r="A34" s="143" t="s">
        <v>322</v>
      </c>
      <c r="B34" s="143"/>
      <c r="C34" s="143"/>
      <c r="D34" s="143"/>
      <c r="E34" s="143"/>
    </row>
  </sheetData>
  <mergeCells count="2">
    <mergeCell ref="A33:E33"/>
    <mergeCell ref="A34:E3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78</v>
      </c>
    </row>
    <row r="3" spans="1:11" x14ac:dyDescent="0.35">
      <c r="C3" s="144" t="s">
        <v>79</v>
      </c>
      <c r="D3" s="144"/>
      <c r="E3" s="144"/>
      <c r="F3" s="144"/>
      <c r="G3" s="144"/>
      <c r="H3" s="144"/>
      <c r="I3" s="144"/>
      <c r="J3" s="144"/>
      <c r="K3" s="144"/>
    </row>
    <row r="4" spans="1:11" x14ac:dyDescent="0.35">
      <c r="C4">
        <v>1</v>
      </c>
      <c r="D4">
        <v>2</v>
      </c>
      <c r="E4">
        <v>3</v>
      </c>
      <c r="F4">
        <v>4</v>
      </c>
      <c r="G4">
        <v>5</v>
      </c>
      <c r="H4">
        <v>6</v>
      </c>
      <c r="I4">
        <v>7</v>
      </c>
      <c r="J4">
        <v>8</v>
      </c>
      <c r="K4">
        <v>9</v>
      </c>
    </row>
    <row r="5" spans="1:11" x14ac:dyDescent="0.35">
      <c r="A5" t="s">
        <v>80</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81</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82</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D11" sqref="D11"/>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88</v>
      </c>
    </row>
    <row r="3" spans="1:7" x14ac:dyDescent="0.6">
      <c r="A3" s="82" t="s">
        <v>89</v>
      </c>
    </row>
    <row r="4" spans="1:7" x14ac:dyDescent="0.6">
      <c r="A4" s="6" t="s">
        <v>90</v>
      </c>
      <c r="D4" s="133">
        <f>'Ann 2'!C6</f>
        <v>28.85</v>
      </c>
    </row>
    <row r="5" spans="1:7" x14ac:dyDescent="0.6">
      <c r="A5" s="6" t="s">
        <v>91</v>
      </c>
      <c r="D5" s="121">
        <v>0.06</v>
      </c>
    </row>
    <row r="6" spans="1:7" x14ac:dyDescent="0.6">
      <c r="A6" s="6" t="s">
        <v>92</v>
      </c>
      <c r="D6" s="122" t="s">
        <v>148</v>
      </c>
    </row>
    <row r="8" spans="1:7" x14ac:dyDescent="0.6">
      <c r="A8" s="10" t="s">
        <v>67</v>
      </c>
      <c r="B8" s="10" t="s">
        <v>93</v>
      </c>
      <c r="C8" s="10" t="s">
        <v>94</v>
      </c>
      <c r="D8" s="10" t="s">
        <v>96</v>
      </c>
      <c r="E8" s="10" t="s">
        <v>95</v>
      </c>
    </row>
    <row r="9" spans="1:7" x14ac:dyDescent="0.6">
      <c r="A9" s="145">
        <v>1</v>
      </c>
      <c r="B9" s="34">
        <v>1</v>
      </c>
      <c r="C9" s="88">
        <f>$D$4</f>
        <v>28.85</v>
      </c>
      <c r="D9" s="34">
        <v>0</v>
      </c>
      <c r="E9" s="34">
        <f>C9*$D$5/4</f>
        <v>0.43275000000000002</v>
      </c>
    </row>
    <row r="10" spans="1:7" x14ac:dyDescent="0.6">
      <c r="A10" s="145"/>
      <c r="B10" s="34">
        <v>2</v>
      </c>
      <c r="C10" s="88">
        <f>$D$4</f>
        <v>28.85</v>
      </c>
      <c r="D10" s="34">
        <v>0</v>
      </c>
      <c r="E10" s="34">
        <f t="shared" ref="E10:E36" si="0">C10*$D$5/4</f>
        <v>0.43275000000000002</v>
      </c>
      <c r="G10" s="123"/>
    </row>
    <row r="11" spans="1:7" x14ac:dyDescent="0.6">
      <c r="A11" s="145"/>
      <c r="B11" s="34">
        <v>3</v>
      </c>
      <c r="C11" s="88">
        <f>$D$4</f>
        <v>28.85</v>
      </c>
      <c r="D11" s="34">
        <f>D4/26</f>
        <v>1.1096153846153847</v>
      </c>
      <c r="E11" s="34">
        <f t="shared" si="0"/>
        <v>0.43275000000000002</v>
      </c>
    </row>
    <row r="12" spans="1:7" x14ac:dyDescent="0.6">
      <c r="A12" s="145"/>
      <c r="B12" s="34">
        <v>4</v>
      </c>
      <c r="C12" s="34">
        <f t="shared" ref="C12:C17" si="1">C11-D11</f>
        <v>27.740384615384617</v>
      </c>
      <c r="D12" s="34">
        <f>D11</f>
        <v>1.1096153846153847</v>
      </c>
      <c r="E12" s="34">
        <f t="shared" si="0"/>
        <v>0.41610576923076925</v>
      </c>
    </row>
    <row r="13" spans="1:7" x14ac:dyDescent="0.6">
      <c r="A13" s="145">
        <v>2</v>
      </c>
      <c r="B13" s="34">
        <v>1</v>
      </c>
      <c r="C13" s="34">
        <f t="shared" si="1"/>
        <v>26.630769230769232</v>
      </c>
      <c r="D13" s="34">
        <f t="shared" ref="D13:D35" si="2">D12</f>
        <v>1.1096153846153847</v>
      </c>
      <c r="E13" s="34">
        <f t="shared" si="0"/>
        <v>0.39946153846153848</v>
      </c>
    </row>
    <row r="14" spans="1:7" x14ac:dyDescent="0.6">
      <c r="A14" s="145"/>
      <c r="B14" s="34">
        <v>2</v>
      </c>
      <c r="C14" s="34">
        <f t="shared" si="1"/>
        <v>25.521153846153847</v>
      </c>
      <c r="D14" s="34">
        <f t="shared" si="2"/>
        <v>1.1096153846153847</v>
      </c>
      <c r="E14" s="34">
        <f t="shared" si="0"/>
        <v>0.38281730769230771</v>
      </c>
    </row>
    <row r="15" spans="1:7" x14ac:dyDescent="0.6">
      <c r="A15" s="145"/>
      <c r="B15" s="34">
        <v>3</v>
      </c>
      <c r="C15" s="34">
        <f t="shared" si="1"/>
        <v>24.411538461538463</v>
      </c>
      <c r="D15" s="34">
        <f t="shared" si="2"/>
        <v>1.1096153846153847</v>
      </c>
      <c r="E15" s="34">
        <f t="shared" si="0"/>
        <v>0.36617307692307693</v>
      </c>
    </row>
    <row r="16" spans="1:7" x14ac:dyDescent="0.6">
      <c r="A16" s="145"/>
      <c r="B16" s="34">
        <v>4</v>
      </c>
      <c r="C16" s="34">
        <f t="shared" si="1"/>
        <v>23.301923076923078</v>
      </c>
      <c r="D16" s="34">
        <f t="shared" si="2"/>
        <v>1.1096153846153847</v>
      </c>
      <c r="E16" s="34">
        <f t="shared" si="0"/>
        <v>0.34952884615384616</v>
      </c>
    </row>
    <row r="17" spans="1:5" x14ac:dyDescent="0.6">
      <c r="A17" s="145">
        <v>3</v>
      </c>
      <c r="B17" s="34">
        <v>1</v>
      </c>
      <c r="C17" s="34">
        <f t="shared" si="1"/>
        <v>22.192307692307693</v>
      </c>
      <c r="D17" s="34">
        <f t="shared" si="2"/>
        <v>1.1096153846153847</v>
      </c>
      <c r="E17" s="34">
        <f t="shared" si="0"/>
        <v>0.33288461538461539</v>
      </c>
    </row>
    <row r="18" spans="1:5" x14ac:dyDescent="0.6">
      <c r="A18" s="145"/>
      <c r="B18" s="34">
        <v>2</v>
      </c>
      <c r="C18" s="34">
        <f t="shared" ref="C18:C36" si="3">C17-D17</f>
        <v>21.082692307692309</v>
      </c>
      <c r="D18" s="34">
        <f t="shared" si="2"/>
        <v>1.1096153846153847</v>
      </c>
      <c r="E18" s="34">
        <f t="shared" si="0"/>
        <v>0.31624038461538462</v>
      </c>
    </row>
    <row r="19" spans="1:5" x14ac:dyDescent="0.6">
      <c r="A19" s="145"/>
      <c r="B19" s="34">
        <v>3</v>
      </c>
      <c r="C19" s="34">
        <f t="shared" si="3"/>
        <v>19.973076923076924</v>
      </c>
      <c r="D19" s="34">
        <f t="shared" si="2"/>
        <v>1.1096153846153847</v>
      </c>
      <c r="E19" s="34">
        <f t="shared" si="0"/>
        <v>0.29959615384615385</v>
      </c>
    </row>
    <row r="20" spans="1:5" x14ac:dyDescent="0.6">
      <c r="A20" s="145"/>
      <c r="B20" s="34">
        <v>4</v>
      </c>
      <c r="C20" s="34">
        <f t="shared" si="3"/>
        <v>18.863461538461539</v>
      </c>
      <c r="D20" s="34">
        <f t="shared" si="2"/>
        <v>1.1096153846153847</v>
      </c>
      <c r="E20" s="34">
        <f t="shared" si="0"/>
        <v>0.28295192307692307</v>
      </c>
    </row>
    <row r="21" spans="1:5" x14ac:dyDescent="0.6">
      <c r="A21" s="145">
        <v>4</v>
      </c>
      <c r="B21" s="34">
        <v>1</v>
      </c>
      <c r="C21" s="34">
        <f t="shared" si="3"/>
        <v>17.753846153846155</v>
      </c>
      <c r="D21" s="34">
        <f t="shared" si="2"/>
        <v>1.1096153846153847</v>
      </c>
      <c r="E21" s="34">
        <f t="shared" si="0"/>
        <v>0.2663076923076923</v>
      </c>
    </row>
    <row r="22" spans="1:5" x14ac:dyDescent="0.6">
      <c r="A22" s="145"/>
      <c r="B22" s="34">
        <v>2</v>
      </c>
      <c r="C22" s="34">
        <f t="shared" si="3"/>
        <v>16.64423076923077</v>
      </c>
      <c r="D22" s="34">
        <f t="shared" si="2"/>
        <v>1.1096153846153847</v>
      </c>
      <c r="E22" s="34">
        <f t="shared" si="0"/>
        <v>0.24966346153846153</v>
      </c>
    </row>
    <row r="23" spans="1:5" x14ac:dyDescent="0.6">
      <c r="A23" s="145"/>
      <c r="B23" s="34">
        <v>3</v>
      </c>
      <c r="C23" s="34">
        <f t="shared" si="3"/>
        <v>15.534615384615385</v>
      </c>
      <c r="D23" s="34">
        <f t="shared" si="2"/>
        <v>1.1096153846153847</v>
      </c>
      <c r="E23" s="34">
        <f t="shared" si="0"/>
        <v>0.23301923076923078</v>
      </c>
    </row>
    <row r="24" spans="1:5" x14ac:dyDescent="0.6">
      <c r="A24" s="145"/>
      <c r="B24" s="34">
        <v>4</v>
      </c>
      <c r="C24" s="34">
        <f t="shared" si="3"/>
        <v>14.425000000000001</v>
      </c>
      <c r="D24" s="34">
        <f t="shared" si="2"/>
        <v>1.1096153846153847</v>
      </c>
      <c r="E24" s="34">
        <f t="shared" si="0"/>
        <v>0.21637500000000001</v>
      </c>
    </row>
    <row r="25" spans="1:5" x14ac:dyDescent="0.6">
      <c r="A25" s="145">
        <v>5</v>
      </c>
      <c r="B25" s="34">
        <v>1</v>
      </c>
      <c r="C25" s="34">
        <f t="shared" si="3"/>
        <v>13.315384615384616</v>
      </c>
      <c r="D25" s="34">
        <f t="shared" si="2"/>
        <v>1.1096153846153847</v>
      </c>
      <c r="E25" s="34">
        <f t="shared" si="0"/>
        <v>0.19973076923076924</v>
      </c>
    </row>
    <row r="26" spans="1:5" x14ac:dyDescent="0.6">
      <c r="A26" s="145"/>
      <c r="B26" s="34">
        <v>2</v>
      </c>
      <c r="C26" s="34">
        <f t="shared" si="3"/>
        <v>12.205769230769231</v>
      </c>
      <c r="D26" s="34">
        <f t="shared" si="2"/>
        <v>1.1096153846153847</v>
      </c>
      <c r="E26" s="34">
        <f t="shared" si="0"/>
        <v>0.18308653846153847</v>
      </c>
    </row>
    <row r="27" spans="1:5" x14ac:dyDescent="0.6">
      <c r="A27" s="145"/>
      <c r="B27" s="34">
        <v>3</v>
      </c>
      <c r="C27" s="34">
        <f t="shared" si="3"/>
        <v>11.096153846153847</v>
      </c>
      <c r="D27" s="34">
        <f t="shared" si="2"/>
        <v>1.1096153846153847</v>
      </c>
      <c r="E27" s="34">
        <f t="shared" si="0"/>
        <v>0.16644230769230769</v>
      </c>
    </row>
    <row r="28" spans="1:5" x14ac:dyDescent="0.6">
      <c r="A28" s="145"/>
      <c r="B28" s="34">
        <v>4</v>
      </c>
      <c r="C28" s="34">
        <f t="shared" si="3"/>
        <v>9.986538461538462</v>
      </c>
      <c r="D28" s="34">
        <f t="shared" si="2"/>
        <v>1.1096153846153847</v>
      </c>
      <c r="E28" s="34">
        <f t="shared" si="0"/>
        <v>0.14979807692307692</v>
      </c>
    </row>
    <row r="29" spans="1:5" x14ac:dyDescent="0.6">
      <c r="A29" s="145">
        <v>6</v>
      </c>
      <c r="B29" s="34">
        <v>1</v>
      </c>
      <c r="C29" s="34">
        <f t="shared" si="3"/>
        <v>8.8769230769230774</v>
      </c>
      <c r="D29" s="34">
        <f t="shared" si="2"/>
        <v>1.1096153846153847</v>
      </c>
      <c r="E29" s="34">
        <f t="shared" si="0"/>
        <v>0.13315384615384615</v>
      </c>
    </row>
    <row r="30" spans="1:5" x14ac:dyDescent="0.6">
      <c r="A30" s="145"/>
      <c r="B30" s="34">
        <v>2</v>
      </c>
      <c r="C30" s="34">
        <f t="shared" si="3"/>
        <v>7.7673076923076927</v>
      </c>
      <c r="D30" s="34">
        <f t="shared" si="2"/>
        <v>1.1096153846153847</v>
      </c>
      <c r="E30" s="34">
        <f t="shared" si="0"/>
        <v>0.11650961538461539</v>
      </c>
    </row>
    <row r="31" spans="1:5" x14ac:dyDescent="0.6">
      <c r="A31" s="145"/>
      <c r="B31" s="34">
        <v>3</v>
      </c>
      <c r="C31" s="34">
        <f t="shared" si="3"/>
        <v>6.657692307692308</v>
      </c>
      <c r="D31" s="34">
        <f t="shared" si="2"/>
        <v>1.1096153846153847</v>
      </c>
      <c r="E31" s="34">
        <f t="shared" si="0"/>
        <v>9.986538461538462E-2</v>
      </c>
    </row>
    <row r="32" spans="1:5" x14ac:dyDescent="0.6">
      <c r="A32" s="145"/>
      <c r="B32" s="34">
        <v>4</v>
      </c>
      <c r="C32" s="34">
        <f t="shared" si="3"/>
        <v>5.5480769230769234</v>
      </c>
      <c r="D32" s="34">
        <f t="shared" si="2"/>
        <v>1.1096153846153847</v>
      </c>
      <c r="E32" s="34">
        <f t="shared" si="0"/>
        <v>8.3221153846153847E-2</v>
      </c>
    </row>
    <row r="33" spans="1:5" x14ac:dyDescent="0.6">
      <c r="A33" s="145">
        <v>7</v>
      </c>
      <c r="B33" s="34">
        <v>1</v>
      </c>
      <c r="C33" s="34">
        <f t="shared" si="3"/>
        <v>4.4384615384615387</v>
      </c>
      <c r="D33" s="34">
        <f t="shared" si="2"/>
        <v>1.1096153846153847</v>
      </c>
      <c r="E33" s="34">
        <f t="shared" si="0"/>
        <v>6.6576923076923075E-2</v>
      </c>
    </row>
    <row r="34" spans="1:5" x14ac:dyDescent="0.6">
      <c r="A34" s="145"/>
      <c r="B34" s="34">
        <v>2</v>
      </c>
      <c r="C34" s="34">
        <f t="shared" si="3"/>
        <v>3.328846153846154</v>
      </c>
      <c r="D34" s="34">
        <f t="shared" si="2"/>
        <v>1.1096153846153847</v>
      </c>
      <c r="E34" s="34">
        <f t="shared" si="0"/>
        <v>4.993269230769231E-2</v>
      </c>
    </row>
    <row r="35" spans="1:5" x14ac:dyDescent="0.6">
      <c r="A35" s="145"/>
      <c r="B35" s="34">
        <v>3</v>
      </c>
      <c r="C35" s="34">
        <f t="shared" si="3"/>
        <v>2.2192307692307693</v>
      </c>
      <c r="D35" s="34">
        <f t="shared" si="2"/>
        <v>1.1096153846153847</v>
      </c>
      <c r="E35" s="34">
        <f t="shared" si="0"/>
        <v>3.3288461538461538E-2</v>
      </c>
    </row>
    <row r="36" spans="1:5" x14ac:dyDescent="0.6">
      <c r="A36" s="145"/>
      <c r="B36" s="34">
        <v>4</v>
      </c>
      <c r="C36" s="34">
        <f t="shared" si="3"/>
        <v>1.1096153846153847</v>
      </c>
      <c r="D36" s="124">
        <f>D4-SUM(D9:D35)</f>
        <v>1.1096153846153847</v>
      </c>
      <c r="E36" s="34">
        <f t="shared" si="0"/>
        <v>1.6644230769230769E-2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2"/>
  <sheetViews>
    <sheetView workbookViewId="0">
      <selection activeCell="B21" sqref="B21"/>
    </sheetView>
  </sheetViews>
  <sheetFormatPr defaultRowHeight="17" x14ac:dyDescent="0.6"/>
  <cols>
    <col min="1" max="1" width="41.1796875" style="6" bestFit="1" customWidth="1"/>
    <col min="2" max="2" width="14.7265625" style="6" customWidth="1"/>
    <col min="3" max="11" width="14.7265625" style="6" bestFit="1" customWidth="1"/>
    <col min="12" max="12" width="13.6328125" style="6" bestFit="1" customWidth="1"/>
    <col min="13" max="16384" width="8.7265625" style="6"/>
  </cols>
  <sheetData>
    <row r="1" spans="1:11" x14ac:dyDescent="0.6">
      <c r="A1" s="5" t="s">
        <v>284</v>
      </c>
      <c r="B1" s="5"/>
    </row>
    <row r="2" spans="1:11" x14ac:dyDescent="0.6">
      <c r="A2" s="5"/>
      <c r="B2" s="5"/>
    </row>
    <row r="3" spans="1:11" x14ac:dyDescent="0.6">
      <c r="A3" s="76" t="s">
        <v>3</v>
      </c>
      <c r="B3" s="76">
        <v>0</v>
      </c>
      <c r="C3" s="76" t="s">
        <v>38</v>
      </c>
      <c r="D3" s="76" t="s">
        <v>39</v>
      </c>
      <c r="E3" s="76" t="s">
        <v>40</v>
      </c>
      <c r="F3" s="76" t="s">
        <v>41</v>
      </c>
      <c r="G3" s="76" t="s">
        <v>42</v>
      </c>
      <c r="H3" s="76" t="s">
        <v>43</v>
      </c>
      <c r="I3" s="76" t="s">
        <v>44</v>
      </c>
      <c r="J3" s="76" t="s">
        <v>45</v>
      </c>
      <c r="K3" s="76" t="s">
        <v>46</v>
      </c>
    </row>
    <row r="4" spans="1:11" x14ac:dyDescent="0.6">
      <c r="A4" s="34" t="s">
        <v>152</v>
      </c>
      <c r="B4" s="56">
        <f>'Ann 2'!C7*100000</f>
        <v>535000</v>
      </c>
      <c r="C4" s="56">
        <f>B21</f>
        <v>535000.00000000047</v>
      </c>
      <c r="D4" s="56">
        <f>C21</f>
        <v>3532282.942307692</v>
      </c>
      <c r="E4" s="56">
        <f t="shared" ref="E4:K4" si="0">D21</f>
        <v>3773400.2276923107</v>
      </c>
      <c r="F4" s="56">
        <f t="shared" si="0"/>
        <v>3664190.2346692374</v>
      </c>
      <c r="G4" s="56">
        <f t="shared" si="0"/>
        <v>3519756.1381614693</v>
      </c>
      <c r="H4" s="56">
        <f t="shared" si="0"/>
        <v>3342332.5286341142</v>
      </c>
      <c r="I4" s="56">
        <f t="shared" si="0"/>
        <v>4184040.6104147257</v>
      </c>
      <c r="J4" s="56">
        <f t="shared" si="0"/>
        <v>5359755.1696825102</v>
      </c>
      <c r="K4" s="56">
        <f t="shared" si="0"/>
        <v>7026963.4361844584</v>
      </c>
    </row>
    <row r="5" spans="1:11" x14ac:dyDescent="0.6">
      <c r="A5" s="34" t="s">
        <v>191</v>
      </c>
      <c r="B5" s="56">
        <f>'Ann 2'!C4*100000</f>
        <v>380000</v>
      </c>
      <c r="C5" s="56">
        <v>0</v>
      </c>
      <c r="D5" s="56">
        <v>0</v>
      </c>
      <c r="E5" s="56">
        <v>0</v>
      </c>
      <c r="F5" s="56">
        <v>0</v>
      </c>
      <c r="G5" s="56">
        <v>0</v>
      </c>
      <c r="H5" s="56">
        <v>0</v>
      </c>
      <c r="I5" s="56">
        <v>0</v>
      </c>
      <c r="J5" s="56">
        <v>0</v>
      </c>
      <c r="K5" s="56">
        <v>0</v>
      </c>
    </row>
    <row r="6" spans="1:11" x14ac:dyDescent="0.6">
      <c r="A6" s="34" t="s">
        <v>192</v>
      </c>
      <c r="B6" s="56">
        <f>'Ann 2'!C6*100000</f>
        <v>2885000</v>
      </c>
      <c r="C6" s="56">
        <v>0</v>
      </c>
      <c r="D6" s="56">
        <v>0</v>
      </c>
      <c r="E6" s="56">
        <v>0</v>
      </c>
      <c r="F6" s="56">
        <v>0</v>
      </c>
      <c r="G6" s="56">
        <v>0</v>
      </c>
      <c r="H6" s="56">
        <v>0</v>
      </c>
      <c r="I6" s="56">
        <v>0</v>
      </c>
      <c r="J6" s="56">
        <v>0</v>
      </c>
      <c r="K6" s="56">
        <v>0</v>
      </c>
    </row>
    <row r="7" spans="1:11" x14ac:dyDescent="0.6">
      <c r="A7" s="34" t="s">
        <v>193</v>
      </c>
      <c r="B7" s="56">
        <f>'Ann 9'!F9*100000</f>
        <v>3204999.9999999995</v>
      </c>
      <c r="C7" s="56">
        <v>0</v>
      </c>
      <c r="D7" s="56">
        <v>0</v>
      </c>
      <c r="E7" s="56">
        <v>0</v>
      </c>
      <c r="F7" s="56">
        <v>0</v>
      </c>
      <c r="G7" s="56">
        <v>0</v>
      </c>
      <c r="H7" s="56">
        <v>0</v>
      </c>
      <c r="I7" s="56">
        <v>0</v>
      </c>
      <c r="J7" s="56">
        <v>0</v>
      </c>
      <c r="K7" s="56">
        <v>0</v>
      </c>
    </row>
    <row r="8" spans="1:11" x14ac:dyDescent="0.6">
      <c r="A8" s="34" t="s">
        <v>256</v>
      </c>
      <c r="B8" s="56">
        <f>'Ann 1'!C8*100000</f>
        <v>0</v>
      </c>
      <c r="C8" s="56"/>
      <c r="D8" s="56"/>
      <c r="E8" s="56"/>
      <c r="F8" s="56"/>
      <c r="G8" s="56"/>
      <c r="H8" s="56"/>
      <c r="I8" s="56"/>
      <c r="J8" s="56"/>
      <c r="K8" s="56"/>
    </row>
    <row r="9" spans="1:11" x14ac:dyDescent="0.6">
      <c r="A9" s="34" t="s">
        <v>153</v>
      </c>
      <c r="B9" s="56"/>
      <c r="C9" s="56">
        <f>'Ann 4'!C23-'Ann 5'!C12</f>
        <v>38491200</v>
      </c>
      <c r="D9" s="56">
        <f>'Ann 4'!D23-'Ann 5'!D12</f>
        <v>45868680.000000007</v>
      </c>
      <c r="E9" s="56">
        <f>'Ann 4'!E23-'Ann 5'!E12</f>
        <v>49397040.000000007</v>
      </c>
      <c r="F9" s="56">
        <f>'Ann 4'!F23-'Ann 5'!F12</f>
        <v>52925400.000000007</v>
      </c>
      <c r="G9" s="56">
        <f>'Ann 4'!G23-'Ann 5'!G12</f>
        <v>56453760</v>
      </c>
      <c r="H9" s="56">
        <f>'Ann 4'!H23-'Ann 5'!H12</f>
        <v>61193880</v>
      </c>
      <c r="I9" s="56">
        <f>'Ann 4'!I23-'Ann 5'!I12</f>
        <v>64793520</v>
      </c>
      <c r="J9" s="56">
        <f>'Ann 4'!J23-'Ann 5'!J12</f>
        <v>68393160</v>
      </c>
      <c r="K9" s="56">
        <f>'Ann 4'!K23-'Ann 5'!K12</f>
        <v>71850240</v>
      </c>
    </row>
    <row r="10" spans="1:11" x14ac:dyDescent="0.6">
      <c r="A10" s="34" t="s">
        <v>168</v>
      </c>
      <c r="B10" s="56">
        <v>0</v>
      </c>
      <c r="C10" s="56">
        <v>0</v>
      </c>
      <c r="D10" s="56">
        <f>'Ann 5'!C24</f>
        <v>12742920</v>
      </c>
      <c r="E10" s="56">
        <f>'Ann 5'!D24</f>
        <v>15185313.000000004</v>
      </c>
      <c r="F10" s="56">
        <f>'Ann 5'!E24</f>
        <v>16353414</v>
      </c>
      <c r="G10" s="56">
        <f>'Ann 5'!F24</f>
        <v>17521515</v>
      </c>
      <c r="H10" s="56">
        <f>'Ann 5'!G24</f>
        <v>18689616</v>
      </c>
      <c r="I10" s="56">
        <f>'Ann 5'!H24</f>
        <v>19857717</v>
      </c>
      <c r="J10" s="56">
        <f>'Ann 5'!I24</f>
        <v>21025818.000000004</v>
      </c>
      <c r="K10" s="56">
        <f>'Ann 5'!J24</f>
        <v>22193919</v>
      </c>
    </row>
    <row r="11" spans="1:11" x14ac:dyDescent="0.6">
      <c r="A11" s="34" t="s">
        <v>169</v>
      </c>
      <c r="B11" s="56">
        <v>0</v>
      </c>
      <c r="C11" s="56">
        <v>0</v>
      </c>
      <c r="D11" s="56">
        <f>'Ann 5'!C12</f>
        <v>9622800</v>
      </c>
      <c r="E11" s="56">
        <f>'Ann 5'!D12</f>
        <v>11467170.000000002</v>
      </c>
      <c r="F11" s="56">
        <f>'Ann 5'!E12</f>
        <v>12349260.000000002</v>
      </c>
      <c r="G11" s="56">
        <f>'Ann 5'!F12</f>
        <v>13231350.000000002</v>
      </c>
      <c r="H11" s="56">
        <f>'Ann 5'!G12</f>
        <v>14113440</v>
      </c>
      <c r="I11" s="56">
        <f>'Ann 5'!H12</f>
        <v>15298470</v>
      </c>
      <c r="J11" s="56">
        <f>'Ann 5'!I12</f>
        <v>16198380</v>
      </c>
      <c r="K11" s="56">
        <f>'Ann 5'!J12</f>
        <v>17098290</v>
      </c>
    </row>
    <row r="12" spans="1:11" x14ac:dyDescent="0.6">
      <c r="A12" s="34" t="s">
        <v>170</v>
      </c>
      <c r="B12" s="56">
        <v>0</v>
      </c>
      <c r="C12" s="56">
        <f>'Ann 4'!C11+'Ann 4'!C20-'Ann 5'!C24</f>
        <v>34357080</v>
      </c>
      <c r="D12" s="56">
        <f>'Ann 4'!D11+'Ann 4'!D20-'Ann 5'!D24</f>
        <v>40341459</v>
      </c>
      <c r="E12" s="56">
        <f>'Ann 4'!E11+'Ann 4'!E20-'Ann 5'!E24</f>
        <v>43366610.490000002</v>
      </c>
      <c r="F12" s="56">
        <f>'Ann 4'!F11+'Ann 4'!F20-'Ann 5'!F24</f>
        <v>46406811.699300006</v>
      </c>
      <c r="G12" s="56">
        <f>'Ann 4'!G11+'Ann 4'!G20-'Ann 5'!G24</f>
        <v>49463053.943001002</v>
      </c>
      <c r="H12" s="56">
        <f>'Ann 4'!H11+'Ann 4'!H20-'Ann 5'!H24</f>
        <v>52559344.819998562</v>
      </c>
      <c r="I12" s="56">
        <f>'Ann 4'!I11+'Ann 4'!I20-'Ann 5'!I24</f>
        <v>55652262.697435364</v>
      </c>
      <c r="J12" s="56">
        <f>'Ann 4'!J11+'Ann 4'!J20-'Ann 5'!J24</f>
        <v>58764611.501294538</v>
      </c>
      <c r="K12" s="56">
        <f>'Ann 4'!K11+'Ann 4'!K20-'Ann 5'!K24</f>
        <v>61894975.83417584</v>
      </c>
    </row>
    <row r="13" spans="1:11" x14ac:dyDescent="0.6">
      <c r="A13" s="34" t="s">
        <v>236</v>
      </c>
      <c r="B13" s="56">
        <f>'Ann 4'!C32</f>
        <v>60000</v>
      </c>
      <c r="C13" s="56">
        <v>0</v>
      </c>
      <c r="D13" s="56">
        <v>0</v>
      </c>
      <c r="E13" s="56">
        <v>0</v>
      </c>
      <c r="F13" s="56">
        <v>0</v>
      </c>
      <c r="G13" s="56">
        <v>0</v>
      </c>
      <c r="H13" s="56">
        <v>0</v>
      </c>
      <c r="I13" s="56">
        <v>0</v>
      </c>
      <c r="J13" s="56">
        <v>0</v>
      </c>
      <c r="K13" s="56">
        <v>0</v>
      </c>
    </row>
    <row r="14" spans="1:11" x14ac:dyDescent="0.6">
      <c r="A14" s="34" t="s">
        <v>154</v>
      </c>
      <c r="B14" s="56">
        <v>0</v>
      </c>
      <c r="C14" s="56">
        <f>'Ann 4'!C29</f>
        <v>224935.57692307694</v>
      </c>
      <c r="D14" s="56">
        <f>'Ann 4'!D29</f>
        <v>203298.07692307691</v>
      </c>
      <c r="E14" s="56">
        <f>'Ann 4'!E29</f>
        <v>176667.30769230769</v>
      </c>
      <c r="F14" s="56">
        <f>'Ann 4'!F29</f>
        <v>150036.53846153844</v>
      </c>
      <c r="G14" s="56">
        <f>'Ann 4'!G29</f>
        <v>123405.76923076923</v>
      </c>
      <c r="H14" s="56">
        <f>'Ann 4'!H29</f>
        <v>96775</v>
      </c>
      <c r="I14" s="56">
        <f>'Ann 4'!I29</f>
        <v>70144.230769230766</v>
      </c>
      <c r="J14" s="56">
        <f>'Ann 4'!J29</f>
        <v>53500</v>
      </c>
      <c r="K14" s="56">
        <f>'Ann 4'!K29</f>
        <v>53500</v>
      </c>
    </row>
    <row r="15" spans="1:11" x14ac:dyDescent="0.6">
      <c r="A15" s="34"/>
      <c r="B15" s="56">
        <f>B4+B5+B6-B7-B8-B13</f>
        <v>535000.00000000047</v>
      </c>
      <c r="C15" s="56">
        <f>C4+C9-C10+C11-C12-C14+C5+C6-C7</f>
        <v>4444184.423076923</v>
      </c>
      <c r="D15" s="56">
        <f>D4+D9-D10+D11-D12-D14+D5+D6-D7</f>
        <v>5736085.8653846188</v>
      </c>
      <c r="E15" s="56">
        <f>E4+E9-E10+E11-E12-E14+E5+E6-E7</f>
        <v>5909019.4300000109</v>
      </c>
      <c r="F15" s="56">
        <f t="shared" ref="F15:K15" si="1">F4+F9-F10+F11-F12-F14+F5+F6-F7</f>
        <v>6028587.9969077017</v>
      </c>
      <c r="G15" s="56">
        <f t="shared" si="1"/>
        <v>6096891.4259296944</v>
      </c>
      <c r="H15" s="56">
        <f t="shared" si="1"/>
        <v>7303916.7086355537</v>
      </c>
      <c r="I15" s="56">
        <f t="shared" si="1"/>
        <v>8695906.6822101343</v>
      </c>
      <c r="J15" s="56">
        <f t="shared" si="1"/>
        <v>10107365.668387964</v>
      </c>
      <c r="K15" s="56">
        <f t="shared" si="1"/>
        <v>11833098.602008626</v>
      </c>
    </row>
    <row r="16" spans="1:11" x14ac:dyDescent="0.6">
      <c r="A16" s="34" t="s">
        <v>172</v>
      </c>
      <c r="B16" s="56">
        <v>0</v>
      </c>
      <c r="C16" s="56">
        <f>'Ann 4'!C35</f>
        <v>257434.32692307688</v>
      </c>
      <c r="D16" s="56">
        <f>'Ann 4'!D35</f>
        <v>529827.7269230769</v>
      </c>
      <c r="E16" s="56">
        <f>'Ann 4'!E35</f>
        <v>628249.89819230931</v>
      </c>
      <c r="F16" s="56">
        <f>'Ann 4'!F35</f>
        <v>720343.85054653883</v>
      </c>
      <c r="G16" s="56">
        <f>'Ann 4'!G35</f>
        <v>806062.58492421859</v>
      </c>
      <c r="H16" s="56">
        <f>'Ann 4'!H35</f>
        <v>933498.81780511874</v>
      </c>
      <c r="I16" s="56">
        <f>'Ann 4'!I35</f>
        <v>1008943.7297726057</v>
      </c>
      <c r="J16" s="56">
        <f>'Ann 4'!J35</f>
        <v>1074558.9182105251</v>
      </c>
      <c r="K16" s="56">
        <f>'Ann 4'!K35</f>
        <v>1122428.1954963016</v>
      </c>
    </row>
    <row r="17" spans="1:12" x14ac:dyDescent="0.6">
      <c r="A17" s="34"/>
      <c r="B17" s="56">
        <v>0</v>
      </c>
      <c r="C17" s="56">
        <f>C15-C16</f>
        <v>4186750.096153846</v>
      </c>
      <c r="D17" s="56">
        <f t="shared" ref="D17:K17" si="2">D15-D16</f>
        <v>5206258.1384615414</v>
      </c>
      <c r="E17" s="56">
        <f t="shared" si="2"/>
        <v>5280769.531807702</v>
      </c>
      <c r="F17" s="56">
        <f t="shared" si="2"/>
        <v>5308244.1463611629</v>
      </c>
      <c r="G17" s="56">
        <f t="shared" si="2"/>
        <v>5290828.8410054762</v>
      </c>
      <c r="H17" s="56">
        <f t="shared" si="2"/>
        <v>6370417.8908304349</v>
      </c>
      <c r="I17" s="56">
        <f t="shared" si="2"/>
        <v>7686962.9524375284</v>
      </c>
      <c r="J17" s="56">
        <f t="shared" si="2"/>
        <v>9032806.7501774393</v>
      </c>
      <c r="K17" s="56">
        <f t="shared" si="2"/>
        <v>10710670.406512324</v>
      </c>
    </row>
    <row r="18" spans="1:12" x14ac:dyDescent="0.6">
      <c r="A18" s="34" t="s">
        <v>171</v>
      </c>
      <c r="B18" s="56">
        <v>0</v>
      </c>
      <c r="C18" s="56">
        <f>'Ann 4'!C37</f>
        <v>432544.07692307694</v>
      </c>
      <c r="D18" s="56">
        <f>'Ann 4'!D37</f>
        <v>989011.75692307693</v>
      </c>
      <c r="E18" s="56">
        <f>'Ann 4'!E37</f>
        <v>1172733.1432923109</v>
      </c>
      <c r="F18" s="56">
        <f>'Ann 4'!F37</f>
        <v>1344641.8543535394</v>
      </c>
      <c r="G18" s="56">
        <f>'Ann 4'!G37</f>
        <v>1504650.158525208</v>
      </c>
      <c r="H18" s="56">
        <f>'Ann 4'!H37</f>
        <v>1742531.1265695551</v>
      </c>
      <c r="I18" s="56">
        <f>'Ann 4'!I37</f>
        <v>1883361.6289088645</v>
      </c>
      <c r="J18" s="56">
        <f>'Ann 4'!J37</f>
        <v>2005843.3139929806</v>
      </c>
      <c r="K18" s="56">
        <f>'Ann 4'!K37</f>
        <v>2095199.298259763</v>
      </c>
    </row>
    <row r="19" spans="1:12" x14ac:dyDescent="0.6">
      <c r="A19" s="34"/>
      <c r="B19" s="56">
        <v>0</v>
      </c>
      <c r="C19" s="56">
        <f>C17-C18</f>
        <v>3754206.019230769</v>
      </c>
      <c r="D19" s="56">
        <f t="shared" ref="D19:K19" si="3">D17-D18</f>
        <v>4217246.3815384647</v>
      </c>
      <c r="E19" s="56">
        <f t="shared" si="3"/>
        <v>4108036.3885153914</v>
      </c>
      <c r="F19" s="56">
        <f t="shared" si="3"/>
        <v>3963602.2920076232</v>
      </c>
      <c r="G19" s="56">
        <f t="shared" si="3"/>
        <v>3786178.6824802682</v>
      </c>
      <c r="H19" s="56">
        <f t="shared" si="3"/>
        <v>4627886.7642608797</v>
      </c>
      <c r="I19" s="56">
        <f t="shared" si="3"/>
        <v>5803601.3235286642</v>
      </c>
      <c r="J19" s="56">
        <f t="shared" si="3"/>
        <v>7026963.4361844584</v>
      </c>
      <c r="K19" s="56">
        <f t="shared" si="3"/>
        <v>8615471.1082525607</v>
      </c>
    </row>
    <row r="20" spans="1:12" x14ac:dyDescent="0.6">
      <c r="A20" s="34" t="s">
        <v>173</v>
      </c>
      <c r="B20" s="56">
        <v>0</v>
      </c>
      <c r="C20" s="56">
        <f>SUM('Ann 13'!D9:D12)*100000</f>
        <v>221923.07692307694</v>
      </c>
      <c r="D20" s="56">
        <f>SUM('Ann 13'!D13:D16)*100000</f>
        <v>443846.15384615387</v>
      </c>
      <c r="E20" s="56">
        <f>SUM('Ann 13'!D17:D20)*100000</f>
        <v>443846.15384615387</v>
      </c>
      <c r="F20" s="56">
        <f>SUM('Ann 13'!D21:D24)*100000</f>
        <v>443846.15384615387</v>
      </c>
      <c r="G20" s="56">
        <f>SUM('Ann 13'!D25:D28)*100000</f>
        <v>443846.15384615387</v>
      </c>
      <c r="H20" s="56">
        <f>SUM('Ann 13'!D29:D32)*100000</f>
        <v>443846.15384615387</v>
      </c>
      <c r="I20" s="56">
        <f>SUM('Ann 13'!D33:D36)*100000</f>
        <v>443846.15384615387</v>
      </c>
      <c r="J20" s="56">
        <v>0</v>
      </c>
      <c r="K20" s="56">
        <v>0</v>
      </c>
    </row>
    <row r="21" spans="1:12" x14ac:dyDescent="0.6">
      <c r="A21" s="34" t="s">
        <v>174</v>
      </c>
      <c r="B21" s="56">
        <f>B4+B5+B6-B7-B13-B8</f>
        <v>535000.00000000047</v>
      </c>
      <c r="C21" s="56">
        <f>C19-C20</f>
        <v>3532282.942307692</v>
      </c>
      <c r="D21" s="56">
        <f>D19-D20</f>
        <v>3773400.2276923107</v>
      </c>
      <c r="E21" s="56">
        <f>E19-E20</f>
        <v>3664190.2346692374</v>
      </c>
      <c r="F21" s="56">
        <f t="shared" ref="F21:K21" si="4">F19-F20</f>
        <v>3519756.1381614693</v>
      </c>
      <c r="G21" s="56">
        <f t="shared" si="4"/>
        <v>3342332.5286341142</v>
      </c>
      <c r="H21" s="56">
        <f t="shared" si="4"/>
        <v>4184040.6104147257</v>
      </c>
      <c r="I21" s="56">
        <f t="shared" si="4"/>
        <v>5359755.1696825102</v>
      </c>
      <c r="J21" s="56">
        <f t="shared" si="4"/>
        <v>7026963.4361844584</v>
      </c>
      <c r="K21" s="56">
        <f t="shared" si="4"/>
        <v>8615471.1082525607</v>
      </c>
    </row>
    <row r="22" spans="1:12" x14ac:dyDescent="0.6">
      <c r="B22" s="55"/>
    </row>
    <row r="23" spans="1:12" x14ac:dyDescent="0.6">
      <c r="A23" s="116" t="s">
        <v>175</v>
      </c>
      <c r="B23" s="117">
        <v>0.06</v>
      </c>
      <c r="C23" s="118"/>
      <c r="D23" s="116"/>
      <c r="E23" s="116"/>
      <c r="F23" s="116"/>
      <c r="G23" s="116"/>
      <c r="H23" s="116"/>
      <c r="I23" s="116"/>
      <c r="J23" s="116"/>
      <c r="K23" s="116"/>
      <c r="L23" s="116"/>
    </row>
    <row r="24" spans="1:12" x14ac:dyDescent="0.6">
      <c r="A24" s="116" t="s">
        <v>176</v>
      </c>
      <c r="B24" s="116">
        <v>1</v>
      </c>
      <c r="C24" s="119">
        <f>1/(1+$B$23)</f>
        <v>0.94339622641509424</v>
      </c>
      <c r="D24" s="119">
        <f>1/((1+$B$23)*(1+$B$23))</f>
        <v>0.88999644001423983</v>
      </c>
      <c r="E24" s="119">
        <f>1/((1+$B$23)*(1+$B$23)*(1+$B$23))</f>
        <v>0.8396192830323016</v>
      </c>
      <c r="F24" s="119">
        <f>1/((1+$B$23)*(1+$B$23)*(1+$B$23)*(1+$B$23))</f>
        <v>0.79209366323802044</v>
      </c>
      <c r="G24" s="119">
        <f>1/((1+$B$23)*(1+$B$23)*(1+$B$23)*(1+$B$23)*(1+$B$23))</f>
        <v>0.74725817286605689</v>
      </c>
      <c r="H24" s="119">
        <f>1/((1+$B$23)*(1+$B$23)*(1+$B$23)*(1+$B$23)*(1+$B$23)*(1+$B$23))</f>
        <v>0.70496054043967626</v>
      </c>
      <c r="I24" s="119">
        <f>1/((1+$B$23)*(1+$B$23)*(1+$B$23)*(1+$B$23)*(1+$B$23)*(1+$B$23)*(1+$B$23))</f>
        <v>0.6650571136223361</v>
      </c>
      <c r="J24" s="119">
        <f>1/((1+$B$23)*(1+$B$23)*(1+$B$23)*(1+$B$23)*(1+$B$23)*(1+$B$23)*(1+$B$23)*(1+$B$23))</f>
        <v>0.62741237134182648</v>
      </c>
      <c r="K24" s="119">
        <f>1/((1+$B$23)*(1+$B$23)*(1+$B$23)*(1+$B$23)*(1+$B$23)*(1+$B$23)*(1+$B$23)*(1+$B$23)*(1+$B$23))</f>
        <v>0.59189846353002495</v>
      </c>
      <c r="L24" s="116"/>
    </row>
    <row r="25" spans="1:12" x14ac:dyDescent="0.6">
      <c r="A25" s="116" t="s">
        <v>177</v>
      </c>
      <c r="B25" s="116">
        <f>B4+B9+B11+B5+B6</f>
        <v>3800000</v>
      </c>
      <c r="C25" s="116">
        <f>C4+C9+C11+C5+C6</f>
        <v>39026200</v>
      </c>
      <c r="D25" s="116">
        <f t="shared" ref="D25:K25" si="5">D4+D9+D11</f>
        <v>59023762.942307696</v>
      </c>
      <c r="E25" s="116">
        <f t="shared" si="5"/>
        <v>64637610.227692321</v>
      </c>
      <c r="F25" s="116">
        <f t="shared" si="5"/>
        <v>68938850.234669253</v>
      </c>
      <c r="G25" s="116">
        <f t="shared" si="5"/>
        <v>73204866.138161466</v>
      </c>
      <c r="H25" s="116">
        <f t="shared" si="5"/>
        <v>78649652.528634116</v>
      </c>
      <c r="I25" s="116">
        <f t="shared" si="5"/>
        <v>84276030.610414729</v>
      </c>
      <c r="J25" s="116">
        <f t="shared" si="5"/>
        <v>89951295.169682503</v>
      </c>
      <c r="K25" s="116">
        <f t="shared" si="5"/>
        <v>95975493.436184466</v>
      </c>
      <c r="L25" s="116"/>
    </row>
    <row r="26" spans="1:12" x14ac:dyDescent="0.6">
      <c r="A26" s="116" t="s">
        <v>178</v>
      </c>
      <c r="B26" s="116">
        <f>B25*B24</f>
        <v>3800000</v>
      </c>
      <c r="C26" s="116">
        <f>C25*C24</f>
        <v>36817169.811320752</v>
      </c>
      <c r="D26" s="116">
        <f t="shared" ref="D26:K26" si="6">D25*D24</f>
        <v>52530938.894898266</v>
      </c>
      <c r="E26" s="116">
        <f t="shared" si="6"/>
        <v>54270983.956296392</v>
      </c>
      <c r="F26" s="116">
        <f t="shared" si="6"/>
        <v>54606026.421796434</v>
      </c>
      <c r="G26" s="116">
        <f t="shared" si="6"/>
        <v>54702934.515306816</v>
      </c>
      <c r="H26" s="116">
        <f t="shared" si="6"/>
        <v>55444901.551978655</v>
      </c>
      <c r="I26" s="116">
        <f t="shared" si="6"/>
        <v>56048373.665310062</v>
      </c>
      <c r="J26" s="116">
        <f t="shared" si="6"/>
        <v>56436555.407679081</v>
      </c>
      <c r="K26" s="116">
        <f t="shared" si="6"/>
        <v>56807747.101413578</v>
      </c>
      <c r="L26" s="116"/>
    </row>
    <row r="27" spans="1:12" x14ac:dyDescent="0.6">
      <c r="A27" s="116" t="s">
        <v>179</v>
      </c>
      <c r="B27" s="116">
        <f>B10+B12+B14+B16+B18+B20+B7+B13+B8</f>
        <v>3264999.9999999995</v>
      </c>
      <c r="C27" s="116">
        <f t="shared" ref="C27:K27" si="7">C10+C12+C14+C16+C18+C20+C7+C13</f>
        <v>35493917.057692319</v>
      </c>
      <c r="D27" s="116">
        <f t="shared" si="7"/>
        <v>55250362.71461539</v>
      </c>
      <c r="E27" s="116">
        <f t="shared" si="7"/>
        <v>60973419.993023083</v>
      </c>
      <c r="F27" s="116">
        <f t="shared" si="7"/>
        <v>65419094.096507773</v>
      </c>
      <c r="G27" s="116">
        <f t="shared" si="7"/>
        <v>69862533.609527364</v>
      </c>
      <c r="H27" s="116">
        <f t="shared" si="7"/>
        <v>74465611.918219388</v>
      </c>
      <c r="I27" s="116">
        <f t="shared" si="7"/>
        <v>78916275.440732226</v>
      </c>
      <c r="J27" s="116">
        <f t="shared" si="7"/>
        <v>82924331.733498037</v>
      </c>
      <c r="K27" s="116">
        <f t="shared" si="7"/>
        <v>87360022.327931911</v>
      </c>
      <c r="L27" s="116"/>
    </row>
    <row r="28" spans="1:12" x14ac:dyDescent="0.6">
      <c r="A28" s="116" t="s">
        <v>180</v>
      </c>
      <c r="B28" s="116">
        <f>B27*B24</f>
        <v>3264999.9999999995</v>
      </c>
      <c r="C28" s="116">
        <f>C27*C24</f>
        <v>33484827.412917279</v>
      </c>
      <c r="D28" s="116">
        <f t="shared" ref="D28:K28" si="8">D27*D24</f>
        <v>49172626.12550319</v>
      </c>
      <c r="E28" s="116">
        <f t="shared" si="8"/>
        <v>51194459.178569444</v>
      </c>
      <c r="F28" s="116">
        <f t="shared" si="8"/>
        <v>51818049.888615601</v>
      </c>
      <c r="G28" s="116">
        <f t="shared" si="8"/>
        <v>52205349.21684891</v>
      </c>
      <c r="H28" s="116">
        <f t="shared" si="8"/>
        <v>52495318.022039138</v>
      </c>
      <c r="I28" s="116">
        <f t="shared" si="8"/>
        <v>52483830.362438627</v>
      </c>
      <c r="J28" s="116">
        <f t="shared" si="8"/>
        <v>52027751.614850275</v>
      </c>
      <c r="K28" s="116">
        <f t="shared" si="8"/>
        <v>51708262.989851572</v>
      </c>
      <c r="L28" s="116"/>
    </row>
    <row r="29" spans="1:12" x14ac:dyDescent="0.6">
      <c r="A29" s="116"/>
      <c r="B29" s="116"/>
      <c r="C29" s="116"/>
      <c r="D29" s="116"/>
      <c r="E29" s="116"/>
      <c r="F29" s="116"/>
      <c r="G29" s="116"/>
      <c r="H29" s="116"/>
      <c r="I29" s="116"/>
      <c r="J29" s="116"/>
      <c r="K29" s="116"/>
      <c r="L29" s="116"/>
    </row>
    <row r="30" spans="1:12" x14ac:dyDescent="0.6">
      <c r="A30" s="116" t="s">
        <v>181</v>
      </c>
      <c r="B30" s="116">
        <f>B25-B27</f>
        <v>535000.00000000047</v>
      </c>
      <c r="C30" s="116">
        <f>C25-C27</f>
        <v>3532282.9423076808</v>
      </c>
      <c r="D30" s="116">
        <f>D25-D27</f>
        <v>3773400.227692306</v>
      </c>
      <c r="E30" s="116">
        <f t="shared" ref="E30:K30" si="9">E25-E27</f>
        <v>3664190.2346692383</v>
      </c>
      <c r="F30" s="116">
        <f t="shared" si="9"/>
        <v>3519756.1381614804</v>
      </c>
      <c r="G30" s="116">
        <f t="shared" si="9"/>
        <v>3342332.5286341012</v>
      </c>
      <c r="H30" s="116">
        <f t="shared" si="9"/>
        <v>4184040.6104147285</v>
      </c>
      <c r="I30" s="116">
        <f t="shared" si="9"/>
        <v>5359755.1696825027</v>
      </c>
      <c r="J30" s="116">
        <f t="shared" si="9"/>
        <v>7026963.4361844659</v>
      </c>
      <c r="K30" s="116">
        <f t="shared" si="9"/>
        <v>8615471.1082525551</v>
      </c>
      <c r="L30" s="116"/>
    </row>
    <row r="31" spans="1:12" x14ac:dyDescent="0.6">
      <c r="A31" s="116" t="s">
        <v>182</v>
      </c>
      <c r="B31" s="116">
        <f>B26-B28</f>
        <v>535000.00000000047</v>
      </c>
      <c r="C31" s="116">
        <f>C30*C24</f>
        <v>3332342.3984034723</v>
      </c>
      <c r="D31" s="116">
        <f t="shared" ref="D31:K31" si="10">D30*D24</f>
        <v>3358312.7693950743</v>
      </c>
      <c r="E31" s="116">
        <f t="shared" si="10"/>
        <v>3076524.7777269469</v>
      </c>
      <c r="F31" s="116">
        <f t="shared" si="10"/>
        <v>2787976.5331808352</v>
      </c>
      <c r="G31" s="116">
        <f t="shared" si="10"/>
        <v>2497585.2984579061</v>
      </c>
      <c r="H31" s="116">
        <f t="shared" si="10"/>
        <v>2949583.5299395202</v>
      </c>
      <c r="I31" s="116">
        <f t="shared" si="10"/>
        <v>3564543.3028714396</v>
      </c>
      <c r="J31" s="116">
        <f t="shared" si="10"/>
        <v>4408803.7928288048</v>
      </c>
      <c r="K31" s="116">
        <f t="shared" si="10"/>
        <v>5099484.111562009</v>
      </c>
      <c r="L31" s="116">
        <f>SUM(C31:K31)</f>
        <v>31075156.514366008</v>
      </c>
    </row>
    <row r="32" spans="1:12" x14ac:dyDescent="0.6">
      <c r="C32" s="55"/>
      <c r="D32" s="55"/>
      <c r="E32" s="55"/>
      <c r="F32" s="55"/>
      <c r="G32" s="55"/>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7"/>
  <sheetViews>
    <sheetView workbookViewId="0">
      <selection activeCell="B6" sqref="B6:J6"/>
    </sheetView>
  </sheetViews>
  <sheetFormatPr defaultRowHeight="17" x14ac:dyDescent="0.6"/>
  <cols>
    <col min="1" max="1" width="40.36328125" style="6" bestFit="1" customWidth="1"/>
    <col min="2" max="10" width="16.08984375" style="6" bestFit="1" customWidth="1"/>
    <col min="11" max="11" width="12.54296875" style="6" bestFit="1" customWidth="1"/>
    <col min="12" max="16384" width="8.7265625" style="6"/>
  </cols>
  <sheetData>
    <row r="1" spans="1:10" x14ac:dyDescent="0.6">
      <c r="A1" s="5" t="s">
        <v>158</v>
      </c>
    </row>
    <row r="2" spans="1:10" x14ac:dyDescent="0.6">
      <c r="A2" s="140" t="s">
        <v>3</v>
      </c>
      <c r="B2" s="141" t="s">
        <v>47</v>
      </c>
      <c r="C2" s="141"/>
      <c r="D2" s="141"/>
      <c r="E2" s="141"/>
      <c r="F2" s="141"/>
      <c r="G2" s="141"/>
      <c r="H2" s="141"/>
      <c r="I2" s="141"/>
      <c r="J2" s="141"/>
    </row>
    <row r="3" spans="1:10" x14ac:dyDescent="0.6">
      <c r="A3" s="140"/>
      <c r="B3" s="59" t="s">
        <v>38</v>
      </c>
      <c r="C3" s="59" t="s">
        <v>39</v>
      </c>
      <c r="D3" s="59" t="s">
        <v>40</v>
      </c>
      <c r="E3" s="59" t="s">
        <v>41</v>
      </c>
      <c r="F3" s="59" t="s">
        <v>42</v>
      </c>
      <c r="G3" s="59" t="s">
        <v>43</v>
      </c>
      <c r="H3" s="59" t="s">
        <v>44</v>
      </c>
      <c r="I3" s="59" t="s">
        <v>45</v>
      </c>
      <c r="J3" s="59" t="s">
        <v>46</v>
      </c>
    </row>
    <row r="4" spans="1:10" x14ac:dyDescent="0.6">
      <c r="A4" s="34" t="s">
        <v>235</v>
      </c>
      <c r="B4" s="100">
        <v>0.6</v>
      </c>
      <c r="C4" s="100">
        <v>0.65</v>
      </c>
      <c r="D4" s="100">
        <v>0.7</v>
      </c>
      <c r="E4" s="100">
        <v>0.75</v>
      </c>
      <c r="F4" s="100">
        <v>0.8</v>
      </c>
      <c r="G4" s="100">
        <v>0.85</v>
      </c>
      <c r="H4" s="100">
        <v>0.9</v>
      </c>
      <c r="I4" s="100">
        <v>0.95</v>
      </c>
      <c r="J4" s="100">
        <v>1</v>
      </c>
    </row>
    <row r="5" spans="1:10" x14ac:dyDescent="0.6">
      <c r="A5" s="34" t="s">
        <v>260</v>
      </c>
      <c r="B5" s="101">
        <f>$B$12*B4</f>
        <v>324000</v>
      </c>
      <c r="C5" s="101">
        <f t="shared" ref="C5:J5" si="0">$B$12*C4</f>
        <v>351000</v>
      </c>
      <c r="D5" s="101">
        <f t="shared" si="0"/>
        <v>378000</v>
      </c>
      <c r="E5" s="101">
        <f t="shared" si="0"/>
        <v>405000</v>
      </c>
      <c r="F5" s="101">
        <f t="shared" si="0"/>
        <v>432000</v>
      </c>
      <c r="G5" s="101">
        <f t="shared" si="0"/>
        <v>459000</v>
      </c>
      <c r="H5" s="101">
        <f t="shared" si="0"/>
        <v>486000</v>
      </c>
      <c r="I5" s="101">
        <f t="shared" si="0"/>
        <v>513000</v>
      </c>
      <c r="J5" s="101">
        <f t="shared" si="0"/>
        <v>540000</v>
      </c>
    </row>
    <row r="6" spans="1:10" x14ac:dyDescent="0.6">
      <c r="A6" s="34" t="s">
        <v>275</v>
      </c>
      <c r="B6" s="101">
        <f>B5*1000/700</f>
        <v>462857.14285714284</v>
      </c>
      <c r="C6" s="101">
        <f t="shared" ref="C6:J6" si="1">C5*1000/700</f>
        <v>501428.57142857142</v>
      </c>
      <c r="D6" s="101">
        <f t="shared" si="1"/>
        <v>540000</v>
      </c>
      <c r="E6" s="101">
        <f t="shared" si="1"/>
        <v>578571.42857142852</v>
      </c>
      <c r="F6" s="101">
        <f t="shared" si="1"/>
        <v>617142.85714285716</v>
      </c>
      <c r="G6" s="101">
        <f t="shared" si="1"/>
        <v>655714.28571428568</v>
      </c>
      <c r="H6" s="101">
        <f t="shared" si="1"/>
        <v>694285.71428571432</v>
      </c>
      <c r="I6" s="101">
        <f t="shared" si="1"/>
        <v>732857.14285714284</v>
      </c>
      <c r="J6" s="101">
        <f t="shared" si="1"/>
        <v>771428.57142857148</v>
      </c>
    </row>
    <row r="7" spans="1:10" x14ac:dyDescent="0.6">
      <c r="A7" s="34" t="s">
        <v>273</v>
      </c>
      <c r="B7" s="56">
        <f>B5*99%</f>
        <v>320760</v>
      </c>
      <c r="C7" s="56">
        <f t="shared" ref="C7:F7" si="2">C5*99%</f>
        <v>347490</v>
      </c>
      <c r="D7" s="56">
        <f t="shared" si="2"/>
        <v>374220</v>
      </c>
      <c r="E7" s="56">
        <f t="shared" si="2"/>
        <v>400950</v>
      </c>
      <c r="F7" s="56">
        <f t="shared" si="2"/>
        <v>427680</v>
      </c>
      <c r="G7" s="56">
        <f>G5*101%</f>
        <v>463590</v>
      </c>
      <c r="H7" s="56">
        <f t="shared" ref="H7:I7" si="3">H5*101%</f>
        <v>490860</v>
      </c>
      <c r="I7" s="56">
        <f t="shared" si="3"/>
        <v>518130</v>
      </c>
      <c r="J7" s="56">
        <f>MIN(J5*101%,J22+J21)</f>
        <v>544320</v>
      </c>
    </row>
    <row r="8" spans="1:10" x14ac:dyDescent="0.6">
      <c r="A8" s="34" t="s">
        <v>274</v>
      </c>
      <c r="B8" s="56">
        <f>B7*$C$16</f>
        <v>48114000</v>
      </c>
      <c r="C8" s="56">
        <f>C7*$C$16*1.1</f>
        <v>57335850.000000007</v>
      </c>
      <c r="D8" s="56">
        <f t="shared" ref="D8:J8" si="4">D7*$C$16*1.1</f>
        <v>61746300.000000007</v>
      </c>
      <c r="E8" s="56">
        <f t="shared" si="4"/>
        <v>66156750.000000007</v>
      </c>
      <c r="F8" s="56">
        <f t="shared" si="4"/>
        <v>70567200</v>
      </c>
      <c r="G8" s="56">
        <f t="shared" si="4"/>
        <v>76492350</v>
      </c>
      <c r="H8" s="56">
        <f t="shared" si="4"/>
        <v>80991900</v>
      </c>
      <c r="I8" s="56">
        <f t="shared" si="4"/>
        <v>85491450</v>
      </c>
      <c r="J8" s="56">
        <f t="shared" si="4"/>
        <v>89812800</v>
      </c>
    </row>
    <row r="9" spans="1:10" x14ac:dyDescent="0.6">
      <c r="B9" s="30"/>
      <c r="C9" s="30"/>
      <c r="D9" s="30"/>
      <c r="E9" s="30"/>
      <c r="F9" s="30"/>
      <c r="G9" s="30"/>
      <c r="H9" s="30"/>
      <c r="I9" s="30"/>
      <c r="J9" s="30"/>
    </row>
    <row r="10" spans="1:10" x14ac:dyDescent="0.6">
      <c r="A10" s="5" t="s">
        <v>251</v>
      </c>
    </row>
    <row r="12" spans="1:10" x14ac:dyDescent="0.6">
      <c r="A12" s="6" t="s">
        <v>234</v>
      </c>
      <c r="B12" s="102">
        <f>150*2*8*225</f>
        <v>540000</v>
      </c>
      <c r="C12" s="103" t="s">
        <v>299</v>
      </c>
      <c r="E12" s="104"/>
      <c r="G12" s="55"/>
    </row>
    <row r="13" spans="1:10" x14ac:dyDescent="0.6">
      <c r="A13" s="6" t="s">
        <v>249</v>
      </c>
      <c r="B13" s="105" t="s">
        <v>302</v>
      </c>
    </row>
    <row r="15" spans="1:10" s="109" customFormat="1" ht="58" customHeight="1" x14ac:dyDescent="0.35">
      <c r="A15" s="106" t="s">
        <v>159</v>
      </c>
      <c r="B15" s="107" t="s">
        <v>160</v>
      </c>
      <c r="C15" s="108" t="s">
        <v>278</v>
      </c>
      <c r="D15" s="107" t="s">
        <v>279</v>
      </c>
    </row>
    <row r="16" spans="1:10" s="109" customFormat="1" x14ac:dyDescent="0.35">
      <c r="A16" s="106" t="s">
        <v>161</v>
      </c>
      <c r="B16" s="110">
        <f>B12</f>
        <v>540000</v>
      </c>
      <c r="C16" s="111">
        <v>150</v>
      </c>
      <c r="D16" s="112">
        <v>76</v>
      </c>
    </row>
    <row r="17" spans="1:10" s="109" customFormat="1" x14ac:dyDescent="0.35">
      <c r="A17" s="113"/>
      <c r="B17" s="114"/>
      <c r="C17" s="115"/>
      <c r="D17" s="115"/>
    </row>
    <row r="18" spans="1:10" x14ac:dyDescent="0.6">
      <c r="A18" s="5" t="s">
        <v>250</v>
      </c>
    </row>
    <row r="19" spans="1:10" x14ac:dyDescent="0.6">
      <c r="A19" s="140" t="s">
        <v>3</v>
      </c>
      <c r="B19" s="141" t="s">
        <v>47</v>
      </c>
      <c r="C19" s="141"/>
      <c r="D19" s="141"/>
      <c r="E19" s="141"/>
      <c r="F19" s="141"/>
      <c r="G19" s="141"/>
      <c r="H19" s="141"/>
      <c r="I19" s="141"/>
      <c r="J19" s="141"/>
    </row>
    <row r="20" spans="1:10" x14ac:dyDescent="0.6">
      <c r="A20" s="140"/>
      <c r="B20" s="59" t="s">
        <v>38</v>
      </c>
      <c r="C20" s="59" t="s">
        <v>39</v>
      </c>
      <c r="D20" s="59" t="s">
        <v>40</v>
      </c>
      <c r="E20" s="59" t="s">
        <v>41</v>
      </c>
      <c r="F20" s="59" t="s">
        <v>42</v>
      </c>
      <c r="G20" s="59" t="s">
        <v>43</v>
      </c>
      <c r="H20" s="59" t="s">
        <v>44</v>
      </c>
      <c r="I20" s="59" t="s">
        <v>45</v>
      </c>
      <c r="J20" s="59" t="s">
        <v>46</v>
      </c>
    </row>
    <row r="21" spans="1:10" x14ac:dyDescent="0.6">
      <c r="A21" s="34" t="s">
        <v>252</v>
      </c>
      <c r="B21" s="94">
        <v>0</v>
      </c>
      <c r="C21" s="83">
        <f>B24</f>
        <v>3240</v>
      </c>
      <c r="D21" s="83">
        <f t="shared" ref="D21:J21" si="5">C24</f>
        <v>6750</v>
      </c>
      <c r="E21" s="83">
        <f t="shared" si="5"/>
        <v>10530</v>
      </c>
      <c r="F21" s="83">
        <f t="shared" si="5"/>
        <v>14580</v>
      </c>
      <c r="G21" s="83">
        <f t="shared" si="5"/>
        <v>18900</v>
      </c>
      <c r="H21" s="83">
        <f t="shared" si="5"/>
        <v>14310</v>
      </c>
      <c r="I21" s="83">
        <f t="shared" si="5"/>
        <v>9450</v>
      </c>
      <c r="J21" s="83">
        <f t="shared" si="5"/>
        <v>4320</v>
      </c>
    </row>
    <row r="22" spans="1:10" x14ac:dyDescent="0.6">
      <c r="A22" s="34" t="s">
        <v>253</v>
      </c>
      <c r="B22" s="83">
        <f>B5</f>
        <v>324000</v>
      </c>
      <c r="C22" s="83">
        <f t="shared" ref="C22:J22" si="6">C5</f>
        <v>351000</v>
      </c>
      <c r="D22" s="83">
        <f t="shared" si="6"/>
        <v>378000</v>
      </c>
      <c r="E22" s="83">
        <f t="shared" si="6"/>
        <v>405000</v>
      </c>
      <c r="F22" s="83">
        <f t="shared" si="6"/>
        <v>432000</v>
      </c>
      <c r="G22" s="83">
        <f t="shared" si="6"/>
        <v>459000</v>
      </c>
      <c r="H22" s="83">
        <f t="shared" si="6"/>
        <v>486000</v>
      </c>
      <c r="I22" s="83">
        <f t="shared" si="6"/>
        <v>513000</v>
      </c>
      <c r="J22" s="83">
        <f t="shared" si="6"/>
        <v>540000</v>
      </c>
    </row>
    <row r="23" spans="1:10" x14ac:dyDescent="0.6">
      <c r="A23" s="34" t="s">
        <v>49</v>
      </c>
      <c r="B23" s="83">
        <f>B7</f>
        <v>320760</v>
      </c>
      <c r="C23" s="83">
        <f t="shared" ref="C23:J23" si="7">C7</f>
        <v>347490</v>
      </c>
      <c r="D23" s="83">
        <f t="shared" si="7"/>
        <v>374220</v>
      </c>
      <c r="E23" s="83">
        <f t="shared" si="7"/>
        <v>400950</v>
      </c>
      <c r="F23" s="83">
        <f t="shared" si="7"/>
        <v>427680</v>
      </c>
      <c r="G23" s="83">
        <f t="shared" si="7"/>
        <v>463590</v>
      </c>
      <c r="H23" s="83">
        <f t="shared" si="7"/>
        <v>490860</v>
      </c>
      <c r="I23" s="83">
        <f t="shared" si="7"/>
        <v>518130</v>
      </c>
      <c r="J23" s="83">
        <f t="shared" si="7"/>
        <v>544320</v>
      </c>
    </row>
    <row r="24" spans="1:10" x14ac:dyDescent="0.6">
      <c r="A24" s="34" t="s">
        <v>254</v>
      </c>
      <c r="B24" s="83">
        <f>B21+B22-B23</f>
        <v>3240</v>
      </c>
      <c r="C24" s="83">
        <f t="shared" ref="C24:J24" si="8">C21+C22-C23</f>
        <v>6750</v>
      </c>
      <c r="D24" s="83">
        <f t="shared" si="8"/>
        <v>10530</v>
      </c>
      <c r="E24" s="83">
        <f t="shared" si="8"/>
        <v>14580</v>
      </c>
      <c r="F24" s="83">
        <f t="shared" si="8"/>
        <v>18900</v>
      </c>
      <c r="G24" s="83">
        <f t="shared" si="8"/>
        <v>14310</v>
      </c>
      <c r="H24" s="83">
        <f t="shared" si="8"/>
        <v>9450</v>
      </c>
      <c r="I24" s="83">
        <f t="shared" si="8"/>
        <v>4320</v>
      </c>
      <c r="J24" s="83">
        <f t="shared" si="8"/>
        <v>0</v>
      </c>
    </row>
    <row r="26" spans="1:10" x14ac:dyDescent="0.6">
      <c r="A26" s="143" t="s">
        <v>288</v>
      </c>
      <c r="B26" s="143"/>
      <c r="C26" s="143"/>
      <c r="D26" s="143"/>
      <c r="E26" s="143"/>
      <c r="F26" s="143"/>
      <c r="G26" s="143"/>
      <c r="H26" s="143"/>
      <c r="I26" s="143"/>
      <c r="J26" s="143"/>
    </row>
    <row r="27" spans="1:10" x14ac:dyDescent="0.6">
      <c r="A27" s="6" t="s">
        <v>303</v>
      </c>
    </row>
  </sheetData>
  <mergeCells count="5">
    <mergeCell ref="B2:J2"/>
    <mergeCell ref="B19:J19"/>
    <mergeCell ref="A26:J26"/>
    <mergeCell ref="A19:A20"/>
    <mergeCell ref="A2:A3"/>
  </mergeCells>
  <pageMargins left="0.7" right="0.7" top="0.75" bottom="0.75" header="0.3" footer="0.3"/>
  <pageSetup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C3" sqref="B3:F8"/>
    </sheetView>
  </sheetViews>
  <sheetFormatPr defaultRowHeight="17" x14ac:dyDescent="0.6"/>
  <cols>
    <col min="1" max="1" width="16.453125" style="6" bestFit="1" customWidth="1"/>
    <col min="2" max="16384" width="8.7265625" style="6"/>
  </cols>
  <sheetData>
    <row r="2" spans="1:10" x14ac:dyDescent="0.6">
      <c r="B2" s="6" t="s">
        <v>38</v>
      </c>
      <c r="C2" s="6" t="s">
        <v>39</v>
      </c>
      <c r="D2" s="6" t="s">
        <v>40</v>
      </c>
      <c r="E2" s="6" t="s">
        <v>41</v>
      </c>
      <c r="F2" s="6" t="s">
        <v>42</v>
      </c>
      <c r="G2" s="6" t="s">
        <v>43</v>
      </c>
      <c r="H2" s="6" t="s">
        <v>44</v>
      </c>
      <c r="I2" s="6" t="s">
        <v>45</v>
      </c>
      <c r="J2" s="6" t="s">
        <v>46</v>
      </c>
    </row>
    <row r="3" spans="1:10" x14ac:dyDescent="0.6">
      <c r="A3" s="6" t="s">
        <v>183</v>
      </c>
      <c r="B3" s="30">
        <f>'Ann 4'!C23/100000</f>
        <v>481.14</v>
      </c>
      <c r="C3" s="30">
        <f>'Ann 4'!D23/100000</f>
        <v>573.35850000000005</v>
      </c>
      <c r="D3" s="30">
        <f>'Ann 4'!E23/100000</f>
        <v>617.46300000000008</v>
      </c>
      <c r="E3" s="30">
        <f>'Ann 4'!F23/100000</f>
        <v>661.56750000000011</v>
      </c>
      <c r="F3" s="30">
        <f>'Ann 4'!G23/100000</f>
        <v>705.67200000000003</v>
      </c>
      <c r="G3" s="30">
        <f>'Ann 4'!H23/100000</f>
        <v>764.92349999999999</v>
      </c>
      <c r="H3" s="30">
        <f>'Ann 4'!I23/100000</f>
        <v>809.91899999999998</v>
      </c>
      <c r="I3" s="30">
        <f>'Ann 4'!J23/100000</f>
        <v>854.91449999999998</v>
      </c>
      <c r="J3" s="30">
        <f>'Ann 4'!K23/100000</f>
        <v>898.12800000000004</v>
      </c>
    </row>
    <row r="4" spans="1:10" x14ac:dyDescent="0.6">
      <c r="A4" s="6" t="s">
        <v>184</v>
      </c>
      <c r="B4" s="30">
        <f>'Ann 4'!C22/100000</f>
        <v>466.30200000000002</v>
      </c>
      <c r="C4" s="30">
        <f>'Ann 4'!D22/100000</f>
        <v>550.17822000000012</v>
      </c>
      <c r="D4" s="30">
        <f>'Ann 4'!E22/100000</f>
        <v>591.71924490000004</v>
      </c>
      <c r="E4" s="30">
        <f>'Ann 4'!F22/100000</f>
        <v>633.41076699300004</v>
      </c>
      <c r="F4" s="30">
        <f>'Ann 4'!G22/100000</f>
        <v>675.26269943001</v>
      </c>
      <c r="G4" s="30">
        <f>'Ann 4'!H22/100000</f>
        <v>730.82611819998567</v>
      </c>
      <c r="H4" s="30">
        <f>'Ann 4'!I22/100000</f>
        <v>773.82780697435362</v>
      </c>
      <c r="I4" s="30">
        <f>'Ann 4'!J22/100000</f>
        <v>817.02380501294533</v>
      </c>
      <c r="J4" s="30">
        <f>'Ann 4'!K22/100000</f>
        <v>858.83395834175838</v>
      </c>
    </row>
    <row r="5" spans="1:10" x14ac:dyDescent="0.6">
      <c r="A5" s="6" t="s">
        <v>185</v>
      </c>
      <c r="B5" s="30">
        <f>B3-B4</f>
        <v>14.837999999999965</v>
      </c>
      <c r="C5" s="30">
        <f t="shared" ref="C5:J5" si="0">C3-C4</f>
        <v>23.180279999999925</v>
      </c>
      <c r="D5" s="30">
        <f t="shared" si="0"/>
        <v>25.743755100000044</v>
      </c>
      <c r="E5" s="30">
        <f t="shared" si="0"/>
        <v>28.156733007000071</v>
      </c>
      <c r="F5" s="30">
        <f t="shared" si="0"/>
        <v>30.409300569990023</v>
      </c>
      <c r="G5" s="30">
        <f t="shared" si="0"/>
        <v>34.097381800014318</v>
      </c>
      <c r="H5" s="30">
        <f t="shared" si="0"/>
        <v>36.091193025646362</v>
      </c>
      <c r="I5" s="30">
        <f t="shared" si="0"/>
        <v>37.890694987054644</v>
      </c>
      <c r="J5" s="30">
        <f t="shared" si="0"/>
        <v>39.294041658241667</v>
      </c>
    </row>
    <row r="6" spans="1:10" x14ac:dyDescent="0.6">
      <c r="A6" s="6" t="s">
        <v>186</v>
      </c>
      <c r="B6" s="30">
        <f>B5</f>
        <v>14.837999999999965</v>
      </c>
      <c r="C6" s="30">
        <f t="shared" ref="C6:J6" si="1">C5</f>
        <v>23.180279999999925</v>
      </c>
      <c r="D6" s="30">
        <f t="shared" si="1"/>
        <v>25.743755100000044</v>
      </c>
      <c r="E6" s="30">
        <f t="shared" si="1"/>
        <v>28.156733007000071</v>
      </c>
      <c r="F6" s="30">
        <f t="shared" si="1"/>
        <v>30.409300569990023</v>
      </c>
      <c r="G6" s="30">
        <f t="shared" si="1"/>
        <v>34.097381800014318</v>
      </c>
      <c r="H6" s="30">
        <f t="shared" si="1"/>
        <v>36.091193025646362</v>
      </c>
      <c r="I6" s="30">
        <f t="shared" si="1"/>
        <v>37.890694987054644</v>
      </c>
      <c r="J6" s="30">
        <f t="shared" si="1"/>
        <v>39.294041658241667</v>
      </c>
    </row>
    <row r="7" spans="1:10" x14ac:dyDescent="0.6">
      <c r="A7" s="6" t="s">
        <v>187</v>
      </c>
      <c r="B7" s="120">
        <f>'Ann 4'!C34/100000</f>
        <v>7.98114423076923</v>
      </c>
      <c r="C7" s="120">
        <f>'Ann 4'!D34/100000</f>
        <v>17.660924230769229</v>
      </c>
      <c r="D7" s="120">
        <f>'Ann 4'!E34/100000</f>
        <v>20.94166327307698</v>
      </c>
      <c r="E7" s="120">
        <f>'Ann 4'!F34/100000</f>
        <v>24.01146168488463</v>
      </c>
      <c r="F7" s="120">
        <f>'Ann 4'!G34/100000</f>
        <v>26.868752830807288</v>
      </c>
      <c r="G7" s="120">
        <f>'Ann 4'!H34/100000</f>
        <v>31.116627260170624</v>
      </c>
      <c r="H7" s="120">
        <f>'Ann 4'!I34/100000</f>
        <v>33.631457659086863</v>
      </c>
      <c r="I7" s="120">
        <f>'Ann 4'!J34/100000</f>
        <v>35.818630607017504</v>
      </c>
      <c r="J7" s="120">
        <f>'Ann 4'!K34/100000</f>
        <v>37.414273183210057</v>
      </c>
    </row>
    <row r="8" spans="1:10" x14ac:dyDescent="0.6">
      <c r="A8" s="6" t="s">
        <v>188</v>
      </c>
      <c r="B8" s="120">
        <f>'Ann 4'!C36/100000</f>
        <v>5.4068009615384609</v>
      </c>
      <c r="C8" s="120">
        <f>'Ann 4'!D36/100000</f>
        <v>12.362646961538461</v>
      </c>
      <c r="D8" s="120">
        <f>'Ann 4'!E36/100000</f>
        <v>14.659164291153886</v>
      </c>
      <c r="E8" s="120">
        <f>'Ann 4'!F36/100000</f>
        <v>16.808023179419241</v>
      </c>
      <c r="F8" s="120">
        <f>'Ann 4'!G36/100000</f>
        <v>18.808126981565099</v>
      </c>
      <c r="G8" s="120">
        <f>'Ann 4'!H36/100000</f>
        <v>21.781639082119437</v>
      </c>
      <c r="H8" s="120">
        <f>'Ann 4'!I36/100000</f>
        <v>23.542020361360805</v>
      </c>
      <c r="I8" s="120">
        <f>'Ann 4'!J36/100000</f>
        <v>25.073041424912255</v>
      </c>
      <c r="J8" s="120">
        <f>'Ann 4'!K36/100000</f>
        <v>26.189991228247038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9"/>
  <sheetViews>
    <sheetView workbookViewId="0"/>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208</v>
      </c>
      <c r="B1" s="5" t="s">
        <v>209</v>
      </c>
    </row>
    <row r="2" spans="1:12" x14ac:dyDescent="0.6">
      <c r="A2" s="6">
        <v>1</v>
      </c>
      <c r="B2" s="6" t="s">
        <v>296</v>
      </c>
    </row>
    <row r="3" spans="1:12" x14ac:dyDescent="0.6">
      <c r="A3" s="6">
        <v>2</v>
      </c>
      <c r="B3" s="6" t="s">
        <v>210</v>
      </c>
    </row>
    <row r="4" spans="1:12" x14ac:dyDescent="0.6">
      <c r="C4" s="6" t="s">
        <v>163</v>
      </c>
      <c r="D4" s="6">
        <v>75000</v>
      </c>
      <c r="E4" s="6">
        <f>D4*1.05</f>
        <v>78750</v>
      </c>
      <c r="F4" s="6">
        <f t="shared" ref="F4:J4" si="0">E4*1.05</f>
        <v>82687.5</v>
      </c>
      <c r="G4" s="6">
        <f t="shared" si="0"/>
        <v>86821.875</v>
      </c>
      <c r="H4" s="6">
        <f t="shared" si="0"/>
        <v>91162.96875</v>
      </c>
      <c r="I4" s="6">
        <f t="shared" si="0"/>
        <v>95721.1171875</v>
      </c>
      <c r="J4" s="6">
        <f t="shared" si="0"/>
        <v>100507.173046875</v>
      </c>
      <c r="K4" s="6">
        <f>J4</f>
        <v>100507.173046875</v>
      </c>
      <c r="L4" s="6">
        <f>K4</f>
        <v>100507.173046875</v>
      </c>
    </row>
    <row r="5" spans="1:12" x14ac:dyDescent="0.6">
      <c r="C5" s="6" t="s">
        <v>69</v>
      </c>
      <c r="D5" s="6">
        <f>D4*14</f>
        <v>1050000</v>
      </c>
      <c r="E5" s="6">
        <f t="shared" ref="E5:L5" si="1">E4*14</f>
        <v>1102500</v>
      </c>
      <c r="F5" s="6">
        <f t="shared" si="1"/>
        <v>1157625</v>
      </c>
      <c r="G5" s="6">
        <f t="shared" si="1"/>
        <v>1215506.25</v>
      </c>
      <c r="H5" s="6">
        <f t="shared" si="1"/>
        <v>1276281.5625</v>
      </c>
      <c r="I5" s="6">
        <f t="shared" si="1"/>
        <v>1340095.640625</v>
      </c>
      <c r="J5" s="6">
        <f t="shared" si="1"/>
        <v>1407100.42265625</v>
      </c>
      <c r="K5" s="6">
        <f t="shared" si="1"/>
        <v>1407100.42265625</v>
      </c>
      <c r="L5" s="6">
        <f t="shared" si="1"/>
        <v>1407100.42265625</v>
      </c>
    </row>
    <row r="6" spans="1:12" x14ac:dyDescent="0.6">
      <c r="A6" s="6">
        <v>3</v>
      </c>
      <c r="B6" s="6" t="s">
        <v>259</v>
      </c>
    </row>
    <row r="7" spans="1:12" x14ac:dyDescent="0.6">
      <c r="A7" s="6">
        <v>4</v>
      </c>
      <c r="B7" s="6" t="s">
        <v>270</v>
      </c>
    </row>
    <row r="8" spans="1:12" x14ac:dyDescent="0.6">
      <c r="A8" s="6">
        <v>5</v>
      </c>
      <c r="B8" s="6" t="s">
        <v>246</v>
      </c>
    </row>
    <row r="9" spans="1:12" x14ac:dyDescent="0.6">
      <c r="A9" s="6">
        <v>6</v>
      </c>
      <c r="B9" s="6" t="s">
        <v>295</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133</v>
      </c>
    </row>
    <row r="2" spans="1:11" x14ac:dyDescent="0.35">
      <c r="C2" t="s">
        <v>38</v>
      </c>
      <c r="D2" t="s">
        <v>39</v>
      </c>
      <c r="E2" t="s">
        <v>40</v>
      </c>
      <c r="F2" t="s">
        <v>41</v>
      </c>
      <c r="G2" t="s">
        <v>42</v>
      </c>
      <c r="H2" t="s">
        <v>43</v>
      </c>
      <c r="I2" t="s">
        <v>44</v>
      </c>
      <c r="J2" t="s">
        <v>45</v>
      </c>
      <c r="K2" t="s">
        <v>46</v>
      </c>
    </row>
    <row r="3" spans="1:11" x14ac:dyDescent="0.35">
      <c r="A3" t="s">
        <v>134</v>
      </c>
      <c r="C3">
        <f>'Ann 4'!C23/300*270</f>
        <v>43302600</v>
      </c>
      <c r="D3">
        <f>'Ann 4'!D23/300*270</f>
        <v>51602265.000000007</v>
      </c>
      <c r="E3">
        <f>'Ann 4'!E23/300*270</f>
        <v>55571670.000000007</v>
      </c>
      <c r="F3">
        <f>'Ann 4'!F23/300*270</f>
        <v>59541075.000000007</v>
      </c>
      <c r="G3">
        <f>'Ann 4'!G23/300*270</f>
        <v>63510480</v>
      </c>
      <c r="H3">
        <f>'Ann 4'!H23/300*270</f>
        <v>68843115</v>
      </c>
      <c r="I3">
        <f>'Ann 4'!I23/300*270</f>
        <v>72892710</v>
      </c>
      <c r="J3">
        <f>'Ann 4'!J23/300*270</f>
        <v>76942305</v>
      </c>
      <c r="K3">
        <f>'Ann 4'!K23/300*270</f>
        <v>80831520</v>
      </c>
    </row>
    <row r="4" spans="1:11" x14ac:dyDescent="0.35">
      <c r="A4" t="s">
        <v>135</v>
      </c>
      <c r="C4">
        <v>5000000</v>
      </c>
    </row>
    <row r="5" spans="1:11" x14ac:dyDescent="0.35">
      <c r="A5" t="s">
        <v>136</v>
      </c>
      <c r="C5">
        <v>21492978</v>
      </c>
    </row>
    <row r="7" spans="1:11" x14ac:dyDescent="0.35">
      <c r="A7" t="s">
        <v>137</v>
      </c>
      <c r="C7">
        <f>'Ann 3'!E20</f>
        <v>3205000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2021-08-18T09:53:30Z</cp:lastPrinted>
  <dcterms:created xsi:type="dcterms:W3CDTF">2021-07-04T07:21:16Z</dcterms:created>
  <dcterms:modified xsi:type="dcterms:W3CDTF">2021-08-18T10:26:17Z</dcterms:modified>
</cp:coreProperties>
</file>